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1-My Documents\DamSafe\Tools\Burned watershed\"/>
    </mc:Choice>
  </mc:AlternateContent>
  <bookViews>
    <workbookView xWindow="360" yWindow="30" windowWidth="18195" windowHeight="11565" activeTab="4"/>
  </bookViews>
  <sheets>
    <sheet name="Fire calcs" sheetId="3" r:id="rId1"/>
    <sheet name="T-storm CN" sheetId="4" r:id="rId2"/>
    <sheet name="East storms" sheetId="5" r:id="rId3"/>
    <sheet name="West storms" sheetId="6" r:id="rId4"/>
    <sheet name="ReadMe" sheetId="7" r:id="rId5"/>
  </sheets>
  <calcPr calcId="152511"/>
</workbook>
</file>

<file path=xl/calcChain.xml><?xml version="1.0" encoding="utf-8"?>
<calcChain xmlns="http://schemas.openxmlformats.org/spreadsheetml/2006/main">
  <c r="F29" i="3" l="1"/>
  <c r="F28" i="3"/>
  <c r="D13" i="3" l="1"/>
  <c r="H28" i="3" l="1"/>
  <c r="I28" i="3" s="1"/>
  <c r="H29" i="3"/>
  <c r="I29" i="3" s="1"/>
  <c r="C27" i="4"/>
  <c r="P24" i="4"/>
  <c r="P27" i="4" s="1"/>
  <c r="Z87" i="4"/>
  <c r="Z47" i="4"/>
  <c r="Z4" i="4"/>
  <c r="M125" i="4"/>
  <c r="M87" i="4"/>
  <c r="M46" i="4"/>
  <c r="M86" i="4" s="1"/>
  <c r="M124" i="4" s="1"/>
  <c r="Z3" i="4" s="1"/>
  <c r="Z46" i="4" s="1"/>
  <c r="Z86" i="4" s="1"/>
  <c r="M47" i="4"/>
  <c r="T51" i="4" l="1"/>
  <c r="D15" i="3"/>
  <c r="C52" i="3"/>
  <c r="B33" i="3" l="1"/>
  <c r="I16" i="3"/>
  <c r="N3" i="4"/>
  <c r="P20" i="4"/>
  <c r="P18" i="4"/>
  <c r="P19" i="4"/>
  <c r="C19" i="4"/>
  <c r="U19" i="4"/>
  <c r="H19" i="4"/>
  <c r="F31" i="3"/>
  <c r="H31" i="3" s="1"/>
  <c r="I31" i="3" s="1"/>
  <c r="F30" i="3"/>
  <c r="H30" i="3" s="1"/>
  <c r="I30" i="3" s="1"/>
  <c r="D12" i="3"/>
  <c r="D11" i="3"/>
  <c r="C28" i="3" l="1"/>
  <c r="B34" i="3"/>
  <c r="C30" i="3"/>
  <c r="G30" i="3" s="1"/>
  <c r="C29" i="3"/>
  <c r="J29" i="3" s="1"/>
  <c r="C31" i="3"/>
  <c r="G31" i="3" s="1"/>
  <c r="G28" i="3" l="1"/>
  <c r="J28" i="3"/>
  <c r="J31" i="3"/>
  <c r="J30" i="3"/>
  <c r="G29" i="3"/>
  <c r="C33" i="3"/>
  <c r="G32" i="3" l="1"/>
  <c r="J34" i="3" s="1"/>
  <c r="J32" i="3"/>
  <c r="G33" i="3" l="1"/>
  <c r="G34" i="3" s="1"/>
  <c r="G35" i="3" s="1"/>
  <c r="G36" i="3" s="1"/>
  <c r="H11" i="3"/>
  <c r="J35" i="3"/>
  <c r="J36" i="3" s="1"/>
  <c r="J37" i="3" s="1"/>
  <c r="H28" i="4" l="1"/>
  <c r="J11" i="3"/>
  <c r="B4" i="4"/>
  <c r="A1" i="4"/>
  <c r="G3" i="4"/>
  <c r="J39" i="3" l="1"/>
  <c r="I12" i="3"/>
  <c r="N1" i="4"/>
  <c r="O4" i="4"/>
  <c r="T3" i="4"/>
  <c r="G123" i="4"/>
  <c r="H85" i="4"/>
  <c r="G86" i="4"/>
  <c r="H45" i="4"/>
  <c r="I18" i="3" l="1"/>
  <c r="I20" i="3"/>
  <c r="U85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44" i="4"/>
  <c r="S24" i="4"/>
  <c r="R39" i="4"/>
  <c r="R35" i="4"/>
  <c r="R33" i="4"/>
  <c r="Q32" i="4"/>
  <c r="F24" i="4"/>
  <c r="O94" i="4"/>
  <c r="T86" i="4"/>
  <c r="T84" i="4"/>
  <c r="T82" i="4"/>
  <c r="T46" i="4"/>
  <c r="U45" i="4"/>
  <c r="T44" i="4"/>
  <c r="T42" i="4"/>
  <c r="W18" i="4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V68" i="4" l="1"/>
  <c r="V66" i="4" s="1"/>
  <c r="I54" i="3" s="1"/>
  <c r="P94" i="4"/>
  <c r="Q97" i="4" s="1"/>
  <c r="V70" i="4"/>
  <c r="V69" i="4"/>
  <c r="P25" i="4"/>
  <c r="Q34" i="4"/>
  <c r="Q36" i="4" s="1"/>
  <c r="W19" i="4"/>
  <c r="P28" i="4"/>
  <c r="V71" i="4"/>
  <c r="S25" i="4"/>
  <c r="Q65" i="4" s="1"/>
  <c r="Y68" i="4" l="1"/>
  <c r="Q80" i="4"/>
  <c r="R80" i="4" s="1"/>
  <c r="Q81" i="4"/>
  <c r="R81" i="4" s="1"/>
  <c r="Q69" i="4"/>
  <c r="R69" i="4" s="1"/>
  <c r="Q64" i="4"/>
  <c r="R64" i="4" s="1"/>
  <c r="Q48" i="4"/>
  <c r="R48" i="4" s="1"/>
  <c r="Q49" i="4"/>
  <c r="R49" i="4" s="1"/>
  <c r="Q72" i="4"/>
  <c r="R72" i="4" s="1"/>
  <c r="Q88" i="4"/>
  <c r="R88" i="4" s="1"/>
  <c r="Q56" i="4"/>
  <c r="R56" i="4" s="1"/>
  <c r="Q53" i="4"/>
  <c r="R53" i="4" s="1"/>
  <c r="Q73" i="4"/>
  <c r="R73" i="4" s="1"/>
  <c r="Q89" i="4"/>
  <c r="R89" i="4" s="1"/>
  <c r="Q78" i="4"/>
  <c r="Q86" i="4"/>
  <c r="R86" i="4" s="1"/>
  <c r="Q46" i="4"/>
  <c r="R46" i="4" s="1"/>
  <c r="Q54" i="4"/>
  <c r="R54" i="4" s="1"/>
  <c r="Q62" i="4"/>
  <c r="R62" i="4" s="1"/>
  <c r="Q70" i="4"/>
  <c r="R70" i="4" s="1"/>
  <c r="Q51" i="4"/>
  <c r="R51" i="4" s="1"/>
  <c r="Q82" i="4"/>
  <c r="R82" i="4" s="1"/>
  <c r="Q90" i="4"/>
  <c r="R90" i="4" s="1"/>
  <c r="Q50" i="4"/>
  <c r="R50" i="4" s="1"/>
  <c r="Q58" i="4"/>
  <c r="R58" i="4" s="1"/>
  <c r="Q66" i="4"/>
  <c r="R66" i="4" s="1"/>
  <c r="Q74" i="4"/>
  <c r="R74" i="4" s="1"/>
  <c r="Q83" i="4"/>
  <c r="R83" i="4" s="1"/>
  <c r="Q91" i="4"/>
  <c r="R91" i="4" s="1"/>
  <c r="Q59" i="4"/>
  <c r="R59" i="4" s="1"/>
  <c r="Q75" i="4"/>
  <c r="R75" i="4" s="1"/>
  <c r="Q79" i="4"/>
  <c r="R79" i="4" s="1"/>
  <c r="Q87" i="4"/>
  <c r="R87" i="4" s="1"/>
  <c r="Q47" i="4"/>
  <c r="R47" i="4" s="1"/>
  <c r="Q55" i="4"/>
  <c r="R55" i="4" s="1"/>
  <c r="Q63" i="4"/>
  <c r="R63" i="4" s="1"/>
  <c r="Q71" i="4"/>
  <c r="R71" i="4" s="1"/>
  <c r="Q67" i="4"/>
  <c r="R67" i="4" s="1"/>
  <c r="Q84" i="4"/>
  <c r="R84" i="4" s="1"/>
  <c r="Q52" i="4"/>
  <c r="R52" i="4" s="1"/>
  <c r="Q44" i="4"/>
  <c r="R44" i="4" s="1"/>
  <c r="Q68" i="4"/>
  <c r="R68" i="4" s="1"/>
  <c r="Q85" i="4"/>
  <c r="R85" i="4" s="1"/>
  <c r="Q57" i="4"/>
  <c r="R57" i="4" s="1"/>
  <c r="Q76" i="4"/>
  <c r="R76" i="4" s="1"/>
  <c r="Q92" i="4"/>
  <c r="R92" i="4" s="1"/>
  <c r="Q60" i="4"/>
  <c r="R60" i="4" s="1"/>
  <c r="Q61" i="4"/>
  <c r="R61" i="4" s="1"/>
  <c r="Q77" i="4"/>
  <c r="R77" i="4" s="1"/>
  <c r="Q45" i="4"/>
  <c r="R45" i="4" s="1"/>
  <c r="R78" i="4"/>
  <c r="R65" i="4"/>
  <c r="Q99" i="4"/>
  <c r="W91" i="4"/>
  <c r="W92" i="4" s="1"/>
  <c r="Q94" i="4" l="1"/>
  <c r="Q98" i="4" s="1"/>
  <c r="U98" i="4" s="1"/>
  <c r="W98" i="4" s="1"/>
  <c r="B125" i="4"/>
  <c r="A123" i="4"/>
  <c r="A121" i="4"/>
  <c r="B118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G91" i="4"/>
  <c r="C91" i="4"/>
  <c r="C90" i="4"/>
  <c r="C89" i="4"/>
  <c r="C88" i="4"/>
  <c r="C87" i="4"/>
  <c r="C86" i="4"/>
  <c r="C85" i="4"/>
  <c r="G84" i="4"/>
  <c r="C84" i="4"/>
  <c r="C83" i="4"/>
  <c r="G82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G51" i="4"/>
  <c r="C51" i="4"/>
  <c r="C50" i="4"/>
  <c r="C49" i="4"/>
  <c r="C48" i="4"/>
  <c r="C47" i="4"/>
  <c r="G46" i="4"/>
  <c r="C46" i="4"/>
  <c r="C45" i="4"/>
  <c r="G44" i="4"/>
  <c r="C44" i="4"/>
  <c r="G42" i="4"/>
  <c r="D33" i="4"/>
  <c r="D132" i="4" s="1"/>
  <c r="J19" i="4"/>
  <c r="J18" i="4"/>
  <c r="C25" i="4" s="1"/>
  <c r="D35" i="4" l="1"/>
  <c r="I98" i="4"/>
  <c r="C118" i="4"/>
  <c r="D130" i="4" s="1"/>
  <c r="I99" i="4"/>
  <c r="I100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F25" i="4"/>
  <c r="D84" i="4" s="1"/>
  <c r="C28" i="4"/>
  <c r="I96" i="4" l="1"/>
  <c r="I53" i="3" s="1"/>
  <c r="L98" i="4"/>
  <c r="D89" i="4"/>
  <c r="E89" i="4" s="1"/>
  <c r="D91" i="4"/>
  <c r="E91" i="4" s="1"/>
  <c r="J116" i="4"/>
  <c r="J117" i="4" s="1"/>
  <c r="E84" i="4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98" i="4"/>
  <c r="E98" i="4" s="1"/>
  <c r="D97" i="4"/>
  <c r="D96" i="4"/>
  <c r="E96" i="4" s="1"/>
  <c r="D95" i="4"/>
  <c r="E95" i="4" s="1"/>
  <c r="D94" i="4"/>
  <c r="E94" i="4" s="1"/>
  <c r="D93" i="4"/>
  <c r="E93" i="4" s="1"/>
  <c r="D92" i="4"/>
  <c r="E92" i="4" s="1"/>
  <c r="D85" i="4"/>
  <c r="E85" i="4" s="1"/>
  <c r="D100" i="4"/>
  <c r="E100" i="4" s="1"/>
  <c r="D51" i="4"/>
  <c r="E51" i="4" s="1"/>
  <c r="D49" i="4"/>
  <c r="E49" i="4" s="1"/>
  <c r="D47" i="4"/>
  <c r="E47" i="4" s="1"/>
  <c r="D44" i="4"/>
  <c r="E44" i="4" s="1"/>
  <c r="D101" i="4"/>
  <c r="E101" i="4" s="1"/>
  <c r="D81" i="4"/>
  <c r="E81" i="4" s="1"/>
  <c r="D80" i="4"/>
  <c r="E80" i="4" s="1"/>
  <c r="D78" i="4"/>
  <c r="E78" i="4" s="1"/>
  <c r="D76" i="4"/>
  <c r="E76" i="4" s="1"/>
  <c r="D74" i="4"/>
  <c r="E74" i="4" s="1"/>
  <c r="D72" i="4"/>
  <c r="E72" i="4" s="1"/>
  <c r="D70" i="4"/>
  <c r="E70" i="4" s="1"/>
  <c r="D68" i="4"/>
  <c r="E68" i="4" s="1"/>
  <c r="D66" i="4"/>
  <c r="E66" i="4" s="1"/>
  <c r="D64" i="4"/>
  <c r="E64" i="4" s="1"/>
  <c r="D62" i="4"/>
  <c r="E62" i="4" s="1"/>
  <c r="D60" i="4"/>
  <c r="E60" i="4" s="1"/>
  <c r="D58" i="4"/>
  <c r="E58" i="4" s="1"/>
  <c r="D56" i="4"/>
  <c r="E56" i="4" s="1"/>
  <c r="D54" i="4"/>
  <c r="E54" i="4" s="1"/>
  <c r="D52" i="4"/>
  <c r="E52" i="4" s="1"/>
  <c r="D45" i="4"/>
  <c r="D99" i="4"/>
  <c r="E99" i="4" s="1"/>
  <c r="D86" i="4"/>
  <c r="E86" i="4" s="1"/>
  <c r="D50" i="4"/>
  <c r="E50" i="4" s="1"/>
  <c r="D48" i="4"/>
  <c r="E48" i="4" s="1"/>
  <c r="D82" i="4"/>
  <c r="E82" i="4" s="1"/>
  <c r="D79" i="4"/>
  <c r="E79" i="4" s="1"/>
  <c r="D77" i="4"/>
  <c r="E77" i="4" s="1"/>
  <c r="D75" i="4"/>
  <c r="E75" i="4" s="1"/>
  <c r="D73" i="4"/>
  <c r="E73" i="4" s="1"/>
  <c r="D71" i="4"/>
  <c r="E71" i="4" s="1"/>
  <c r="D69" i="4"/>
  <c r="E69" i="4" s="1"/>
  <c r="D67" i="4"/>
  <c r="E67" i="4" s="1"/>
  <c r="D65" i="4"/>
  <c r="E65" i="4" s="1"/>
  <c r="D63" i="4"/>
  <c r="E63" i="4" s="1"/>
  <c r="D61" i="4"/>
  <c r="E61" i="4" s="1"/>
  <c r="D59" i="4"/>
  <c r="E59" i="4" s="1"/>
  <c r="D57" i="4"/>
  <c r="E57" i="4" s="1"/>
  <c r="D55" i="4"/>
  <c r="E55" i="4" s="1"/>
  <c r="D53" i="4"/>
  <c r="E53" i="4" s="1"/>
  <c r="D88" i="4"/>
  <c r="E88" i="4" s="1"/>
  <c r="D46" i="4"/>
  <c r="E46" i="4" s="1"/>
  <c r="D83" i="4"/>
  <c r="E83" i="4" s="1"/>
  <c r="D102" i="4"/>
  <c r="E102" i="4" s="1"/>
  <c r="D90" i="4"/>
  <c r="E90" i="4" s="1"/>
  <c r="D87" i="4"/>
  <c r="E87" i="4" s="1"/>
  <c r="R94" i="4" l="1"/>
  <c r="Q100" i="4" s="1"/>
  <c r="U99" i="4" s="1"/>
  <c r="E97" i="4"/>
  <c r="D118" i="4"/>
  <c r="D131" i="4" s="1"/>
  <c r="E45" i="4"/>
  <c r="W99" i="4" l="1"/>
  <c r="U100" i="4"/>
  <c r="W100" i="4" s="1"/>
  <c r="G54" i="3" s="1"/>
  <c r="E118" i="4"/>
  <c r="D133" i="4" s="1"/>
  <c r="H132" i="4" s="1"/>
  <c r="J132" i="4" s="1"/>
  <c r="H131" i="4"/>
  <c r="J131" i="4" s="1"/>
  <c r="X33" i="4" l="1"/>
  <c r="X35" i="4" s="1"/>
  <c r="X36" i="4" s="1"/>
  <c r="U30" i="4" s="1"/>
  <c r="Q101" i="4"/>
  <c r="H133" i="4"/>
  <c r="J133" i="4" s="1"/>
  <c r="G53" i="3" s="1"/>
  <c r="C54" i="3" l="1"/>
  <c r="H13" i="3"/>
  <c r="J13" i="3" s="1"/>
  <c r="I14" i="3" s="1"/>
  <c r="W30" i="4"/>
  <c r="W31" i="4" s="1"/>
  <c r="X38" i="4" s="1"/>
  <c r="C55" i="3" s="1"/>
  <c r="K31" i="4"/>
  <c r="D134" i="4"/>
  <c r="J28" i="4" l="1"/>
  <c r="J29" i="4" s="1"/>
  <c r="U28" i="4" l="1"/>
  <c r="K33" i="4"/>
  <c r="C53" i="3" s="1"/>
  <c r="L28" i="4"/>
  <c r="L27" i="4" s="1"/>
  <c r="W28" i="4" l="1"/>
  <c r="Y27" i="4" s="1"/>
  <c r="Y26" i="4" s="1"/>
  <c r="C18" i="4"/>
  <c r="W29" i="4" l="1"/>
</calcChain>
</file>

<file path=xl/sharedStrings.xml><?xml version="1.0" encoding="utf-8"?>
<sst xmlns="http://schemas.openxmlformats.org/spreadsheetml/2006/main" count="456" uniqueCount="231">
  <si>
    <t>Weighted</t>
  </si>
  <si>
    <t xml:space="preserve">Burn </t>
  </si>
  <si>
    <t>severity</t>
  </si>
  <si>
    <t>Acres</t>
  </si>
  <si>
    <t>% area</t>
  </si>
  <si>
    <t>High</t>
  </si>
  <si>
    <t>Mod.</t>
  </si>
  <si>
    <t>Low</t>
  </si>
  <si>
    <t>Not burned</t>
  </si>
  <si>
    <t>totals</t>
  </si>
  <si>
    <t>CN value</t>
  </si>
  <si>
    <t>Bsn-1</t>
  </si>
  <si>
    <t>sq.miles</t>
  </si>
  <si>
    <t xml:space="preserve">page 1 of </t>
  </si>
  <si>
    <t>Key principles and equations :</t>
  </si>
  <si>
    <t xml:space="preserve">Storm hyetograph  =  Unit hyetograph  x  Total storm precip </t>
  </si>
  <si>
    <t xml:space="preserve">Interflow hyetograph = Storm hyetograph with peak limited to average soil infiltration rate </t>
  </si>
  <si>
    <t xml:space="preserve">Losses to GW = Interflow hyetograph with peak limited to deep infiltration rate </t>
  </si>
  <si>
    <t>Storm scenario:</t>
  </si>
  <si>
    <t>Intermediate storm, 20% exceedance</t>
  </si>
  <si>
    <t>Climatic Region</t>
  </si>
  <si>
    <t>Storm time step =</t>
  </si>
  <si>
    <t>min.      =</t>
  </si>
  <si>
    <t>hr.</t>
  </si>
  <si>
    <t>Hyetograph no.</t>
  </si>
  <si>
    <t>Total precip =</t>
  </si>
  <si>
    <t>in.         =</t>
  </si>
  <si>
    <t>% of soil storage</t>
  </si>
  <si>
    <t xml:space="preserve">Design Step : </t>
  </si>
  <si>
    <t>25 yr</t>
  </si>
  <si>
    <t>Infiltration rate for soil surface layer :</t>
  </si>
  <si>
    <t>Initial =</t>
  </si>
  <si>
    <t>in./hour</t>
  </si>
  <si>
    <t>Avg =</t>
  </si>
  <si>
    <t xml:space="preserve">in./hr. during the storm </t>
  </si>
  <si>
    <t>in./time-step</t>
  </si>
  <si>
    <t>Deep infiltration rate =</t>
  </si>
  <si>
    <t>Runoff volume estimated by SCS method :</t>
  </si>
  <si>
    <t>CN =</t>
  </si>
  <si>
    <t>S =</t>
  </si>
  <si>
    <t>P &gt; 0.2 S &gt;</t>
  </si>
  <si>
    <t>in.</t>
  </si>
  <si>
    <r>
      <t xml:space="preserve">Excess precip = runoff vol </t>
    </r>
    <r>
      <rPr>
        <b/>
        <sz val="10"/>
        <rFont val="Arial"/>
        <family val="2"/>
      </rPr>
      <t>Q</t>
    </r>
    <r>
      <rPr>
        <sz val="10"/>
        <rFont val="Arial"/>
        <family val="2"/>
      </rPr>
      <t xml:space="preserve"> =</t>
    </r>
  </si>
  <si>
    <t>in. from pervious area(s)</t>
  </si>
  <si>
    <t>Soil porosity storage capacity =</t>
  </si>
  <si>
    <t>in. (water equiv.)</t>
  </si>
  <si>
    <t>Compare to hyetograph estimate below =</t>
  </si>
  <si>
    <t>for soil depth =</t>
  </si>
  <si>
    <t>Interflow loss to soil porosity  =</t>
  </si>
  <si>
    <t>diff =</t>
  </si>
  <si>
    <t>for soil layer =</t>
  </si>
  <si>
    <t>Use:  Interflow loss =</t>
  </si>
  <si>
    <t>in. (adjusted for % impervious area)</t>
  </si>
  <si>
    <t>Directly-connected impervious area(s)     =</t>
  </si>
  <si>
    <t>% of watershed area</t>
  </si>
  <si>
    <t>Hyetographs :</t>
  </si>
  <si>
    <t xml:space="preserve">Unit  </t>
  </si>
  <si>
    <t xml:space="preserve">Storm </t>
  </si>
  <si>
    <t>Interflow</t>
  </si>
  <si>
    <t>Losses to</t>
  </si>
  <si>
    <t>Time, hr.</t>
  </si>
  <si>
    <t>hyetograph</t>
  </si>
  <si>
    <t>deep GW</t>
  </si>
  <si>
    <t>Peak intensity =</t>
  </si>
  <si>
    <t>in/hr.</t>
  </si>
  <si>
    <t>Peak 15 min =</t>
  </si>
  <si>
    <t>Peak 30 min =</t>
  </si>
  <si>
    <t>Peak 60 min =</t>
  </si>
  <si>
    <t>Checking :</t>
  </si>
  <si>
    <t>Storm precipitation :</t>
  </si>
  <si>
    <t>Diff  =</t>
  </si>
  <si>
    <t>% diff =</t>
  </si>
  <si>
    <t>%</t>
  </si>
  <si>
    <t>Totals =</t>
  </si>
  <si>
    <t>For comparison purposes, estimated runoff from pervious area(s) based on rainfall intensity &gt; infiltration rates :</t>
  </si>
  <si>
    <t>Total storm precip =</t>
  </si>
  <si>
    <t>Shallow infiltration =</t>
  </si>
  <si>
    <t>Surface runoff  =</t>
  </si>
  <si>
    <t>% of storm precip</t>
  </si>
  <si>
    <t>Soil porosity loss =</t>
  </si>
  <si>
    <t>Interflow runoff =</t>
  </si>
  <si>
    <t>Deep infiltration  =</t>
  </si>
  <si>
    <t>Total runoff  =</t>
  </si>
  <si>
    <t>Combined losses =</t>
  </si>
  <si>
    <t>[Dam name (owner); Dam Safety file no. ___ ]</t>
  </si>
  <si>
    <t>_____________ watershed</t>
  </si>
  <si>
    <t>[name], mo/da/yr</t>
  </si>
  <si>
    <t>Short duration storm, 33% exceedance</t>
  </si>
  <si>
    <t>(Table CN value for general storm)</t>
  </si>
  <si>
    <t>(Corrected CN value for T-storm)</t>
  </si>
  <si>
    <t>Surface and soil retention</t>
  </si>
  <si>
    <t>parameter  S   =</t>
  </si>
  <si>
    <t>CN &gt;</t>
  </si>
  <si>
    <t>% of subsurface tributary area</t>
  </si>
  <si>
    <t>Peak   5 min =</t>
  </si>
  <si>
    <t>Not used</t>
  </si>
  <si>
    <t xml:space="preserve">Calculate post-fire infiltration rate and CN's for sub-basins in </t>
  </si>
  <si>
    <t xml:space="preserve">Hyetograph calculations : </t>
  </si>
  <si>
    <t>Tinted boxes indicate user input required.</t>
  </si>
  <si>
    <t>Find T-storm Curve Number to agree with runoff volume estimated by hyetograph mass-balance</t>
  </si>
  <si>
    <t>Calculate post-fire runoff parameters in</t>
  </si>
  <si>
    <t>Post-fire watershed parameters</t>
  </si>
  <si>
    <t>Pre-fire watershed</t>
  </si>
  <si>
    <t>Gen.  CN</t>
  </si>
  <si>
    <t>Area</t>
  </si>
  <si>
    <t>acres     =</t>
  </si>
  <si>
    <t>Min. precip (P&gt;0.2S)</t>
  </si>
  <si>
    <t>inches</t>
  </si>
  <si>
    <t xml:space="preserve">CN  </t>
  </si>
  <si>
    <t>Short CN</t>
  </si>
  <si>
    <t>Minimum storm precip (P&gt;0.2S)</t>
  </si>
  <si>
    <t>Time of concentration</t>
  </si>
  <si>
    <t>minutes</t>
  </si>
  <si>
    <t>Unit hydrograph lag time</t>
  </si>
  <si>
    <t>Soil infiltration rate</t>
  </si>
  <si>
    <t xml:space="preserve">25-year precip : </t>
  </si>
  <si>
    <t>Intermediate</t>
  </si>
  <si>
    <t>Short storm</t>
  </si>
  <si>
    <t>Tech Note 3 Climate Region</t>
  </si>
  <si>
    <t>CN</t>
  </si>
  <si>
    <t>Sub-basin</t>
  </si>
  <si>
    <t>Storm hyetograph</t>
  </si>
  <si>
    <t>Intm</t>
  </si>
  <si>
    <t>Short</t>
  </si>
  <si>
    <t>Burned watershed input data</t>
  </si>
  <si>
    <t>Key principles and equations</t>
  </si>
  <si>
    <t>Post-fire</t>
  </si>
  <si>
    <t>CN + 5</t>
  </si>
  <si>
    <t>( L^0.8 ) [ ( S+1 )^0.7 ] / [ 1900  Y^0.5 ]</t>
  </si>
  <si>
    <t>post/pre ratio =</t>
  </si>
  <si>
    <r>
      <t>[ ( S+1 )</t>
    </r>
    <r>
      <rPr>
        <sz val="8"/>
        <color theme="1"/>
        <rFont val="Calibri"/>
        <family val="2"/>
        <scheme val="minor"/>
      </rPr>
      <t>post</t>
    </r>
    <r>
      <rPr>
        <sz val="11"/>
        <color theme="1"/>
        <rFont val="Calibri"/>
        <family val="2"/>
        <scheme val="minor"/>
      </rPr>
      <t xml:space="preserve"> / ( S+1 )</t>
    </r>
    <r>
      <rPr>
        <sz val="8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 xml:space="preserve"> ]^0.7</t>
    </r>
  </si>
  <si>
    <t>Unit hyetographs by Tech Note 3 climate regions</t>
  </si>
  <si>
    <t>Climate Region</t>
  </si>
  <si>
    <t>Storm duration</t>
  </si>
  <si>
    <t>Hyetograph</t>
  </si>
  <si>
    <t>East</t>
  </si>
  <si>
    <t>Cascades</t>
  </si>
  <si>
    <t>Foothills</t>
  </si>
  <si>
    <t>NE or SE</t>
  </si>
  <si>
    <t>Mountains</t>
  </si>
  <si>
    <t>Central</t>
  </si>
  <si>
    <t>Basin</t>
  </si>
  <si>
    <t>Palouse</t>
  </si>
  <si>
    <t>Okanogan,</t>
  </si>
  <si>
    <t>Spokane,</t>
  </si>
  <si>
    <t>MDW, 3/23/15</t>
  </si>
  <si>
    <t>Calculations from T-storm CN tab</t>
  </si>
  <si>
    <t>precip diff</t>
  </si>
  <si>
    <t>Short T-storm CN</t>
  </si>
  <si>
    <t>Storm</t>
  </si>
  <si>
    <t>Runoff % of precip</t>
  </si>
  <si>
    <t xml:space="preserve"> Infiltration and Short CN calcs on T-storm CN tab.</t>
  </si>
  <si>
    <t xml:space="preserve">Based on Climate Region per Tech Note 3 precipitation calculator spreadsheet, copy and </t>
  </si>
  <si>
    <r>
      <t xml:space="preserve">paste correct unit hyetograph into </t>
    </r>
    <r>
      <rPr>
        <b/>
        <sz val="12"/>
        <rFont val="Calibri"/>
        <family val="2"/>
        <scheme val="minor"/>
      </rPr>
      <t>T-storm CN</t>
    </r>
    <r>
      <rPr>
        <sz val="12"/>
        <rFont val="Calibri"/>
        <family val="2"/>
        <scheme val="minor"/>
      </rPr>
      <t xml:space="preserve"> worksheet (tab).  This template spreadsheet </t>
    </r>
  </si>
  <si>
    <t>area diff =</t>
  </si>
  <si>
    <t>( L^0.8 ) [ ( S+1 )^0.7 ] / [ 1140  Y^0.5 ]</t>
  </si>
  <si>
    <t>T.conc &amp; UH lag time, post/pre-fire ratio</t>
  </si>
  <si>
    <t>S  =  1000/CN - 10</t>
  </si>
  <si>
    <t>UH Lag  =</t>
  </si>
  <si>
    <t>T.conc  =</t>
  </si>
  <si>
    <t>Peak intensity</t>
  </si>
  <si>
    <r>
      <rPr>
        <b/>
        <sz val="12"/>
        <rFont val="Calibri"/>
        <family val="2"/>
        <scheme val="minor"/>
      </rPr>
      <t>T-storm CN</t>
    </r>
    <r>
      <rPr>
        <sz val="12"/>
        <rFont val="Calibri"/>
        <family val="2"/>
        <scheme val="minor"/>
      </rPr>
      <t xml:space="preserve"> tab already has hyetographs 11 and 6 for Region 14.</t>
    </r>
  </si>
  <si>
    <t>[sub-basin name]</t>
  </si>
  <si>
    <t>CN calculations</t>
  </si>
  <si>
    <t>page</t>
  </si>
  <si>
    <t xml:space="preserve">of </t>
  </si>
  <si>
    <t xml:space="preserve">Suggestions : </t>
  </si>
  <si>
    <t>Infiltration rate</t>
  </si>
  <si>
    <t>initial estimate</t>
  </si>
  <si>
    <t>Climate Regions</t>
  </si>
  <si>
    <t>Coastal</t>
  </si>
  <si>
    <t>Lowlands</t>
  </si>
  <si>
    <t>151, 142</t>
  </si>
  <si>
    <t>32, 31</t>
  </si>
  <si>
    <t>15, 154</t>
  </si>
  <si>
    <t>Cascade</t>
  </si>
  <si>
    <t>Interior</t>
  </si>
  <si>
    <t>Western Washington</t>
  </si>
  <si>
    <t>Eastern Washington</t>
  </si>
  <si>
    <t>MDW, 3/30/15</t>
  </si>
  <si>
    <r>
      <rPr>
        <b/>
        <sz val="12"/>
        <rFont val="Calibri"/>
        <family val="2"/>
        <scheme val="minor"/>
      </rPr>
      <t>T-storm CN</t>
    </r>
    <r>
      <rPr>
        <sz val="12"/>
        <rFont val="Calibri"/>
        <family val="2"/>
        <scheme val="minor"/>
      </rPr>
      <t xml:space="preserve"> tab already has hyetographs 11 and 6 for Region 14 in Eastern Washington.</t>
    </r>
  </si>
  <si>
    <t>This spreadsheet was developed by engineers in the Dam Safety Office</t>
  </si>
  <si>
    <t>of the Washington State Department of Ecology.  It is made available to</t>
  </si>
  <si>
    <t>other engineers as part of our technical assistance efforts.</t>
  </si>
  <si>
    <t xml:space="preserve">This spreadsheet is intended for use by Professional Engineers only, </t>
  </si>
  <si>
    <t>or by junior engineers under the supervision of a Professional Engineer.</t>
  </si>
  <si>
    <t xml:space="preserve">Engineers using this spreadsheet must make sure that these calculations </t>
  </si>
  <si>
    <t>are correctly applied to their project.</t>
  </si>
  <si>
    <t xml:space="preserve">Dam owners and design engineers are reminded that they retain full </t>
  </si>
  <si>
    <t xml:space="preserve">responsibility for the safety of their structures.  Also, the design engineer </t>
  </si>
  <si>
    <t xml:space="preserve">retains full responsibility for the completeness and adequacy of his or her </t>
  </si>
  <si>
    <t xml:space="preserve">design.  Neither the State of Washington, the Department of Ecology, </t>
  </si>
  <si>
    <t xml:space="preserve">nor Ecology’s reviewing engineer(s) are authorized to accept any of the </t>
  </si>
  <si>
    <t xml:space="preserve">design engineer’s professional responsibility and/or potential liability </t>
  </si>
  <si>
    <t xml:space="preserve">in this regard.  </t>
  </si>
  <si>
    <t>If you have any questions regarding the use of this spreadsheet or about</t>
  </si>
  <si>
    <t>Dam Safety's review of your project, please feel free to contact us at :</t>
  </si>
  <si>
    <t>Washington State Dam Safety Office</t>
  </si>
  <si>
    <t>Martin Walther, P.E., H/H specialist</t>
  </si>
  <si>
    <t xml:space="preserve">  E-mail </t>
  </si>
  <si>
    <t>mwal461@ecy.wa.gov</t>
  </si>
  <si>
    <t xml:space="preserve">  phone </t>
  </si>
  <si>
    <t>360-407-6420</t>
  </si>
  <si>
    <t xml:space="preserve">  fax </t>
  </si>
  <si>
    <t>360-407-7162</t>
  </si>
  <si>
    <t xml:space="preserve">  mail </t>
  </si>
  <si>
    <t xml:space="preserve">Washington State Dept of Ecology </t>
  </si>
  <si>
    <t>Dam Safety Office</t>
  </si>
  <si>
    <t>PO Box 47600</t>
  </si>
  <si>
    <t>Olympia, WA 98504</t>
  </si>
  <si>
    <t xml:space="preserve">  street </t>
  </si>
  <si>
    <t>300 Desmond Drive</t>
  </si>
  <si>
    <t>Lacey, WA 98503</t>
  </si>
  <si>
    <t>Find surficial infiltration rate to agree with runoff volume estimated by NRCS method</t>
  </si>
  <si>
    <t xml:space="preserve">https://fortress.wa.gov/ecy/publications/SummaryPages/1511013.html </t>
  </si>
  <si>
    <t>Be sure to read the instruction paper before using this spreadsheet:</t>
  </si>
  <si>
    <t xml:space="preserve">        Burned watershed hydrology calculations spreadsheet</t>
  </si>
  <si>
    <t>Runoff</t>
  </si>
  <si>
    <t xml:space="preserve">  S  </t>
  </si>
  <si>
    <t>Runoff =</t>
  </si>
  <si>
    <t xml:space="preserve">S  = </t>
  </si>
  <si>
    <t xml:space="preserve">Corrected values : </t>
  </si>
  <si>
    <t>Trial CN =</t>
  </si>
  <si>
    <t>P &gt; 0.2 S</t>
  </si>
  <si>
    <t>error =</t>
  </si>
  <si>
    <t>0.6  T.conc</t>
  </si>
  <si>
    <t>Runoff  =</t>
  </si>
  <si>
    <t>{ [ P - ( 0.2*S )]^2 } / [ P + ( 0.8*S )]</t>
  </si>
  <si>
    <t>intermediate storms</t>
  </si>
  <si>
    <t>for general, long and</t>
  </si>
  <si>
    <t xml:space="preserve">              Publication No. 15-11-014                                  Revised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</si>
</sst>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b/>
      <i/>
      <sz val="10"/>
      <color rgb="FFC00000"/>
      <name val="Arial"/>
      <family val="2"/>
    </font>
    <font>
      <u/>
      <sz val="1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4" fillId="0" borderId="0" xfId="0" applyNumberFormat="1" applyFont="1"/>
    <xf numFmtId="166" fontId="5" fillId="0" borderId="0" xfId="0" applyNumberFormat="1" applyFont="1"/>
    <xf numFmtId="0" fontId="4" fillId="0" borderId="0" xfId="0" applyFont="1" applyAlignment="1"/>
    <xf numFmtId="0" fontId="3" fillId="4" borderId="0" xfId="0" applyFont="1" applyFill="1"/>
    <xf numFmtId="0" fontId="3" fillId="4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0" xfId="0" applyFont="1" applyFill="1"/>
    <xf numFmtId="0" fontId="10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0" fontId="11" fillId="0" borderId="0" xfId="0" applyFont="1" applyAlignment="1">
      <alignment horizontal="right"/>
    </xf>
    <xf numFmtId="166" fontId="1" fillId="0" borderId="0" xfId="0" applyNumberFormat="1" applyFont="1"/>
    <xf numFmtId="0" fontId="1" fillId="0" borderId="0" xfId="0" applyFont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 indent="4"/>
    </xf>
    <xf numFmtId="165" fontId="5" fillId="2" borderId="2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6" fontId="2" fillId="0" borderId="0" xfId="0" applyNumberFormat="1" applyFont="1"/>
    <xf numFmtId="167" fontId="6" fillId="0" borderId="0" xfId="0" applyNumberFormat="1" applyFont="1" applyAlignment="1">
      <alignment horizontal="right"/>
    </xf>
    <xf numFmtId="0" fontId="5" fillId="0" borderId="0" xfId="0" applyFont="1" applyFill="1"/>
    <xf numFmtId="0" fontId="7" fillId="4" borderId="0" xfId="0" applyFont="1" applyFill="1"/>
    <xf numFmtId="0" fontId="9" fillId="0" borderId="0" xfId="0" applyFont="1"/>
    <xf numFmtId="0" fontId="14" fillId="0" borderId="0" xfId="0" applyFont="1"/>
    <xf numFmtId="0" fontId="15" fillId="0" borderId="0" xfId="0" applyFont="1"/>
    <xf numFmtId="164" fontId="13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2" borderId="1" xfId="0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7" fillId="0" borderId="0" xfId="0" applyFont="1" applyAlignment="1">
      <alignment horizontal="left" indent="3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/>
    <xf numFmtId="2" fontId="0" fillId="0" borderId="0" xfId="0" applyNumberFormat="1" applyAlignment="1"/>
    <xf numFmtId="164" fontId="15" fillId="0" borderId="0" xfId="0" applyNumberFormat="1" applyFont="1"/>
    <xf numFmtId="0" fontId="18" fillId="0" borderId="0" xfId="0" applyFont="1" applyAlignment="1">
      <alignment horizontal="right"/>
    </xf>
    <xf numFmtId="164" fontId="15" fillId="2" borderId="0" xfId="0" applyNumberFormat="1" applyFont="1" applyFill="1"/>
    <xf numFmtId="2" fontId="15" fillId="0" borderId="0" xfId="0" applyNumberFormat="1" applyFont="1" applyAlignment="1"/>
    <xf numFmtId="165" fontId="0" fillId="0" borderId="0" xfId="0" applyNumberFormat="1" applyAlignment="1">
      <alignment horizontal="right"/>
    </xf>
    <xf numFmtId="165" fontId="13" fillId="0" borderId="0" xfId="0" applyNumberFormat="1" applyFont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2"/>
    </xf>
    <xf numFmtId="164" fontId="16" fillId="0" borderId="0" xfId="0" applyNumberFormat="1" applyFont="1"/>
    <xf numFmtId="0" fontId="0" fillId="0" borderId="0" xfId="0" applyFont="1" applyFill="1"/>
    <xf numFmtId="0" fontId="19" fillId="4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64" fontId="13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left" vertical="center"/>
    </xf>
    <xf numFmtId="165" fontId="13" fillId="0" borderId="0" xfId="0" applyNumberFormat="1" applyFont="1"/>
    <xf numFmtId="0" fontId="13" fillId="0" borderId="0" xfId="0" applyFont="1"/>
    <xf numFmtId="164" fontId="18" fillId="0" borderId="0" xfId="0" applyNumberFormat="1" applyFont="1"/>
    <xf numFmtId="0" fontId="15" fillId="0" borderId="0" xfId="0" applyFont="1" applyAlignment="1">
      <alignment horizontal="left" indent="3"/>
    </xf>
    <xf numFmtId="0" fontId="18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166" fontId="1" fillId="0" borderId="3" xfId="0" applyNumberFormat="1" applyFont="1" applyFill="1" applyBorder="1" applyAlignment="1"/>
    <xf numFmtId="166" fontId="1" fillId="0" borderId="4" xfId="0" applyNumberFormat="1" applyFont="1" applyFill="1" applyBorder="1" applyAlignment="1"/>
    <xf numFmtId="166" fontId="5" fillId="0" borderId="4" xfId="0" applyNumberFormat="1" applyFont="1" applyFill="1" applyBorder="1" applyAlignment="1"/>
    <xf numFmtId="166" fontId="1" fillId="0" borderId="5" xfId="0" applyNumberFormat="1" applyFont="1" applyFill="1" applyBorder="1" applyAlignment="1"/>
    <xf numFmtId="166" fontId="4" fillId="0" borderId="4" xfId="0" applyNumberFormat="1" applyFont="1" applyFill="1" applyBorder="1" applyAlignment="1"/>
    <xf numFmtId="166" fontId="1" fillId="3" borderId="3" xfId="0" applyNumberFormat="1" applyFont="1" applyFill="1" applyBorder="1"/>
    <xf numFmtId="166" fontId="1" fillId="3" borderId="4" xfId="0" applyNumberFormat="1" applyFont="1" applyFill="1" applyBorder="1"/>
    <xf numFmtId="166" fontId="5" fillId="3" borderId="4" xfId="0" applyNumberFormat="1" applyFont="1" applyFill="1" applyBorder="1"/>
    <xf numFmtId="166" fontId="1" fillId="3" borderId="5" xfId="0" applyNumberFormat="1" applyFont="1" applyFill="1" applyBorder="1"/>
    <xf numFmtId="166" fontId="4" fillId="3" borderId="4" xfId="0" applyNumberFormat="1" applyFont="1" applyFill="1" applyBorder="1"/>
    <xf numFmtId="0" fontId="20" fillId="4" borderId="0" xfId="0" applyFont="1" applyFill="1"/>
    <xf numFmtId="166" fontId="20" fillId="0" borderId="0" xfId="0" applyNumberFormat="1" applyFont="1" applyAlignment="1"/>
    <xf numFmtId="165" fontId="13" fillId="0" borderId="0" xfId="0" applyNumberFormat="1" applyFont="1" applyAlignment="1"/>
    <xf numFmtId="0" fontId="21" fillId="0" borderId="0" xfId="0" applyFont="1" applyAlignment="1">
      <alignment horizontal="left" indent="1"/>
    </xf>
    <xf numFmtId="0" fontId="22" fillId="0" borderId="0" xfId="0" applyFont="1" applyFill="1"/>
    <xf numFmtId="0" fontId="23" fillId="0" borderId="0" xfId="0" applyFont="1" applyFill="1" applyAlignment="1">
      <alignment horizontal="left"/>
    </xf>
    <xf numFmtId="0" fontId="17" fillId="0" borderId="0" xfId="0" applyFont="1" applyAlignment="1">
      <alignment horizontal="right"/>
    </xf>
    <xf numFmtId="2" fontId="18" fillId="0" borderId="0" xfId="0" applyNumberFormat="1" applyFont="1"/>
    <xf numFmtId="164" fontId="0" fillId="2" borderId="1" xfId="0" applyNumberFormat="1" applyFill="1" applyBorder="1"/>
    <xf numFmtId="166" fontId="25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horizontal="left" indent="2"/>
    </xf>
    <xf numFmtId="0" fontId="0" fillId="2" borderId="0" xfId="0" applyFill="1"/>
    <xf numFmtId="0" fontId="16" fillId="0" borderId="0" xfId="0" applyFont="1"/>
    <xf numFmtId="0" fontId="18" fillId="0" borderId="0" xfId="0" applyFont="1" applyAlignment="1"/>
    <xf numFmtId="0" fontId="13" fillId="0" borderId="0" xfId="0" applyFont="1" applyAlignment="1">
      <alignment horizontal="center" vertical="center"/>
    </xf>
    <xf numFmtId="1" fontId="13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indent="2"/>
    </xf>
    <xf numFmtId="0" fontId="26" fillId="0" borderId="0" xfId="0" applyFont="1"/>
    <xf numFmtId="0" fontId="26" fillId="0" borderId="0" xfId="0" applyFont="1" applyAlignment="1"/>
    <xf numFmtId="2" fontId="27" fillId="0" borderId="0" xfId="0" applyNumberFormat="1" applyFont="1" applyAlignment="1">
      <alignment horizontal="center"/>
    </xf>
    <xf numFmtId="0" fontId="27" fillId="0" borderId="0" xfId="0" applyFont="1" applyAlignment="1"/>
    <xf numFmtId="0" fontId="26" fillId="0" borderId="0" xfId="0" applyFont="1" applyAlignment="1">
      <alignment horizontal="center"/>
    </xf>
    <xf numFmtId="166" fontId="1" fillId="0" borderId="6" xfId="0" applyNumberFormat="1" applyFont="1" applyFill="1" applyBorder="1" applyAlignment="1"/>
    <xf numFmtId="166" fontId="1" fillId="0" borderId="7" xfId="0" applyNumberFormat="1" applyFont="1" applyFill="1" applyBorder="1" applyAlignment="1"/>
    <xf numFmtId="166" fontId="4" fillId="0" borderId="7" xfId="0" applyNumberFormat="1" applyFont="1" applyFill="1" applyBorder="1" applyAlignment="1"/>
    <xf numFmtId="166" fontId="5" fillId="0" borderId="7" xfId="0" applyNumberFormat="1" applyFont="1" applyFill="1" applyBorder="1" applyAlignment="1"/>
    <xf numFmtId="166" fontId="1" fillId="0" borderId="8" xfId="0" applyNumberFormat="1" applyFont="1" applyFill="1" applyBorder="1" applyAlignment="1"/>
    <xf numFmtId="0" fontId="28" fillId="0" borderId="0" xfId="0" applyFont="1" applyFill="1" applyAlignment="1">
      <alignment horizontal="left" indent="1"/>
    </xf>
    <xf numFmtId="0" fontId="30" fillId="0" borderId="0" xfId="1" applyFont="1" applyAlignment="1" applyProtection="1"/>
    <xf numFmtId="0" fontId="31" fillId="0" borderId="0" xfId="0" applyFont="1"/>
    <xf numFmtId="0" fontId="29" fillId="0" borderId="0" xfId="1" applyAlignment="1" applyProtection="1"/>
    <xf numFmtId="0" fontId="0" fillId="0" borderId="0" xfId="0"/>
    <xf numFmtId="165" fontId="33" fillId="0" borderId="0" xfId="0" applyNumberFormat="1" applyFont="1" applyFill="1" applyAlignment="1">
      <alignment horizontal="center"/>
    </xf>
    <xf numFmtId="166" fontId="34" fillId="0" borderId="0" xfId="0" applyNumberFormat="1" applyFont="1" applyFill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5" fontId="0" fillId="0" borderId="0" xfId="0" applyNumberFormat="1" applyAlignment="1"/>
    <xf numFmtId="0" fontId="21" fillId="0" borderId="0" xfId="0" applyFont="1" applyAlignment="1">
      <alignment horizontal="right"/>
    </xf>
    <xf numFmtId="165" fontId="15" fillId="0" borderId="0" xfId="0" applyNumberFormat="1" applyFont="1" applyAlignment="1"/>
    <xf numFmtId="0" fontId="16" fillId="0" borderId="0" xfId="0" applyFont="1" applyAlignment="1">
      <alignment horizontal="right"/>
    </xf>
    <xf numFmtId="166" fontId="9" fillId="0" borderId="0" xfId="0" applyNumberFormat="1" applyFont="1"/>
    <xf numFmtId="164" fontId="0" fillId="0" borderId="0" xfId="0" applyNumberFormat="1" applyFont="1" applyAlignment="1"/>
    <xf numFmtId="165" fontId="0" fillId="0" borderId="0" xfId="0" applyNumberFormat="1" applyFont="1" applyAlignment="1"/>
    <xf numFmtId="0" fontId="16" fillId="0" borderId="0" xfId="0" applyFont="1" applyAlignment="1"/>
    <xf numFmtId="2" fontId="16" fillId="0" borderId="0" xfId="0" applyNumberFormat="1" applyFont="1"/>
    <xf numFmtId="0" fontId="0" fillId="0" borderId="0" xfId="0"/>
    <xf numFmtId="0" fontId="0" fillId="0" borderId="0" xfId="0"/>
    <xf numFmtId="0" fontId="3" fillId="0" borderId="0" xfId="0" applyFont="1"/>
    <xf numFmtId="0" fontId="32" fillId="0" borderId="0" xfId="0" applyFont="1"/>
    <xf numFmtId="0" fontId="0" fillId="0" borderId="0" xfId="0"/>
    <xf numFmtId="164" fontId="13" fillId="2" borderId="2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Storm, interflow &amp; loss hyetographs</a:t>
            </a:r>
          </a:p>
        </c:rich>
      </c:tx>
      <c:layout>
        <c:manualLayout>
          <c:xMode val="edge"/>
          <c:yMode val="edge"/>
          <c:x val="0.2995660582814608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9124788806011"/>
          <c:y val="0.19327783962994469"/>
          <c:w val="0.85576520011698975"/>
          <c:h val="0.59944141566389586"/>
        </c:manualLayout>
      </c:layout>
      <c:scatterChart>
        <c:scatterStyle val="smoothMarker"/>
        <c:varyColors val="0"/>
        <c:ser>
          <c:idx val="1"/>
          <c:order val="0"/>
          <c:tx>
            <c:v>Interflow</c:v>
          </c:tx>
          <c:spPr>
            <a:ln w="22225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 w="22225">
                <a:solidFill>
                  <a:srgbClr val="800000"/>
                </a:solidFill>
                <a:prstDash val="solid"/>
              </a:ln>
            </c:spPr>
          </c:marker>
          <c:xVal>
            <c:numRef>
              <c:f>'T-storm CN'!$A$44:$A$116</c:f>
              <c:numCache>
                <c:formatCode>0.00</c:formatCode>
                <c:ptCount val="73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</c:numCache>
            </c:numRef>
          </c:xVal>
          <c:yVal>
            <c:numRef>
              <c:f>'T-storm CN'!$D$44:$D$116</c:f>
              <c:numCache>
                <c:formatCode>0.0000</c:formatCode>
                <c:ptCount val="73"/>
                <c:pt idx="0">
                  <c:v>0</c:v>
                </c:pt>
                <c:pt idx="1">
                  <c:v>6.3599999999999993E-3</c:v>
                </c:pt>
                <c:pt idx="2">
                  <c:v>7.980000000000001E-3</c:v>
                </c:pt>
                <c:pt idx="3">
                  <c:v>9.5700000000000004E-3</c:v>
                </c:pt>
                <c:pt idx="4">
                  <c:v>1.116E-2</c:v>
                </c:pt>
                <c:pt idx="5">
                  <c:v>1.2750000000000001E-2</c:v>
                </c:pt>
                <c:pt idx="6">
                  <c:v>1.4340000000000002E-2</c:v>
                </c:pt>
                <c:pt idx="7">
                  <c:v>1.5893750000000002E-2</c:v>
                </c:pt>
                <c:pt idx="8">
                  <c:v>1.5893750000000002E-2</c:v>
                </c:pt>
                <c:pt idx="9">
                  <c:v>1.5893750000000002E-2</c:v>
                </c:pt>
                <c:pt idx="10">
                  <c:v>1.5893750000000002E-2</c:v>
                </c:pt>
                <c:pt idx="11">
                  <c:v>1.5893750000000002E-2</c:v>
                </c:pt>
                <c:pt idx="12">
                  <c:v>1.5893750000000002E-2</c:v>
                </c:pt>
                <c:pt idx="13">
                  <c:v>1.5893750000000002E-2</c:v>
                </c:pt>
                <c:pt idx="14">
                  <c:v>1.5893750000000002E-2</c:v>
                </c:pt>
                <c:pt idx="15">
                  <c:v>1.5893750000000002E-2</c:v>
                </c:pt>
                <c:pt idx="16">
                  <c:v>1.5893750000000002E-2</c:v>
                </c:pt>
                <c:pt idx="17">
                  <c:v>1.5893750000000002E-2</c:v>
                </c:pt>
                <c:pt idx="18">
                  <c:v>1.5893750000000002E-2</c:v>
                </c:pt>
                <c:pt idx="19">
                  <c:v>1.5893750000000002E-2</c:v>
                </c:pt>
                <c:pt idx="20">
                  <c:v>1.5893750000000002E-2</c:v>
                </c:pt>
                <c:pt idx="21">
                  <c:v>1.5893750000000002E-2</c:v>
                </c:pt>
                <c:pt idx="22">
                  <c:v>1.5893750000000002E-2</c:v>
                </c:pt>
                <c:pt idx="23">
                  <c:v>1.5893750000000002E-2</c:v>
                </c:pt>
                <c:pt idx="24">
                  <c:v>1.5893750000000002E-2</c:v>
                </c:pt>
                <c:pt idx="25">
                  <c:v>1.5893750000000002E-2</c:v>
                </c:pt>
                <c:pt idx="26">
                  <c:v>1.5893750000000002E-2</c:v>
                </c:pt>
                <c:pt idx="27">
                  <c:v>1.5893750000000002E-2</c:v>
                </c:pt>
                <c:pt idx="28">
                  <c:v>1.5893750000000002E-2</c:v>
                </c:pt>
                <c:pt idx="29">
                  <c:v>1.5893750000000002E-2</c:v>
                </c:pt>
                <c:pt idx="30">
                  <c:v>1.5893750000000002E-2</c:v>
                </c:pt>
                <c:pt idx="31">
                  <c:v>1.5893750000000002E-2</c:v>
                </c:pt>
                <c:pt idx="32">
                  <c:v>1.5893750000000002E-2</c:v>
                </c:pt>
                <c:pt idx="33">
                  <c:v>1.5893750000000002E-2</c:v>
                </c:pt>
                <c:pt idx="34">
                  <c:v>1.5893750000000002E-2</c:v>
                </c:pt>
                <c:pt idx="35">
                  <c:v>1.5893750000000002E-2</c:v>
                </c:pt>
                <c:pt idx="36">
                  <c:v>1.5893750000000002E-2</c:v>
                </c:pt>
                <c:pt idx="37">
                  <c:v>1.5893750000000002E-2</c:v>
                </c:pt>
                <c:pt idx="38">
                  <c:v>1.5893750000000002E-2</c:v>
                </c:pt>
                <c:pt idx="39">
                  <c:v>1.5893750000000002E-2</c:v>
                </c:pt>
                <c:pt idx="40">
                  <c:v>1.5893750000000002E-2</c:v>
                </c:pt>
                <c:pt idx="41">
                  <c:v>1.5893750000000002E-2</c:v>
                </c:pt>
                <c:pt idx="42">
                  <c:v>1.5893750000000002E-2</c:v>
                </c:pt>
                <c:pt idx="43">
                  <c:v>1.5893750000000002E-2</c:v>
                </c:pt>
                <c:pt idx="44">
                  <c:v>1.5893750000000002E-2</c:v>
                </c:pt>
                <c:pt idx="45">
                  <c:v>1.5893750000000002E-2</c:v>
                </c:pt>
                <c:pt idx="46">
                  <c:v>1.5893750000000002E-2</c:v>
                </c:pt>
                <c:pt idx="47">
                  <c:v>1.5893750000000002E-2</c:v>
                </c:pt>
                <c:pt idx="48">
                  <c:v>1.5893750000000002E-2</c:v>
                </c:pt>
                <c:pt idx="49">
                  <c:v>1.5893750000000002E-2</c:v>
                </c:pt>
                <c:pt idx="50">
                  <c:v>1.5893750000000002E-2</c:v>
                </c:pt>
                <c:pt idx="51">
                  <c:v>1.5893750000000002E-2</c:v>
                </c:pt>
                <c:pt idx="52">
                  <c:v>1.5893750000000002E-2</c:v>
                </c:pt>
                <c:pt idx="53">
                  <c:v>1.5893750000000002E-2</c:v>
                </c:pt>
                <c:pt idx="54">
                  <c:v>1.5893750000000002E-2</c:v>
                </c:pt>
                <c:pt idx="55">
                  <c:v>1.5893750000000002E-2</c:v>
                </c:pt>
                <c:pt idx="56">
                  <c:v>1.5893750000000002E-2</c:v>
                </c:pt>
                <c:pt idx="57">
                  <c:v>1.5893750000000002E-2</c:v>
                </c:pt>
                <c:pt idx="58">
                  <c:v>1.5893750000000002E-2</c:v>
                </c:pt>
                <c:pt idx="59">
                  <c:v>1.5893750000000002E-2</c:v>
                </c:pt>
                <c:pt idx="60">
                  <c:v>1.5893750000000002E-2</c:v>
                </c:pt>
                <c:pt idx="61">
                  <c:v>1.5893750000000002E-2</c:v>
                </c:pt>
                <c:pt idx="62">
                  <c:v>1.5893750000000002E-2</c:v>
                </c:pt>
                <c:pt idx="63">
                  <c:v>1.5893750000000002E-2</c:v>
                </c:pt>
                <c:pt idx="64">
                  <c:v>1.5893750000000002E-2</c:v>
                </c:pt>
                <c:pt idx="65">
                  <c:v>1.5893750000000002E-2</c:v>
                </c:pt>
                <c:pt idx="66">
                  <c:v>1.5893750000000002E-2</c:v>
                </c:pt>
                <c:pt idx="67">
                  <c:v>1.5893750000000002E-2</c:v>
                </c:pt>
                <c:pt idx="68">
                  <c:v>1.5893750000000002E-2</c:v>
                </c:pt>
                <c:pt idx="69">
                  <c:v>1.5893750000000002E-2</c:v>
                </c:pt>
                <c:pt idx="70">
                  <c:v>1.5893750000000002E-2</c:v>
                </c:pt>
                <c:pt idx="71">
                  <c:v>1.5893750000000002E-2</c:v>
                </c:pt>
                <c:pt idx="72">
                  <c:v>1.5893750000000002E-2</c:v>
                </c:pt>
              </c:numCache>
            </c:numRef>
          </c:yVal>
          <c:smooth val="1"/>
        </c:ser>
        <c:ser>
          <c:idx val="2"/>
          <c:order val="1"/>
          <c:tx>
            <c:v>Deep GW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00"/>
              </a:solidFill>
              <a:ln w="22225">
                <a:solidFill>
                  <a:srgbClr val="008000"/>
                </a:solidFill>
                <a:prstDash val="solid"/>
              </a:ln>
            </c:spPr>
          </c:marker>
          <c:xVal>
            <c:numRef>
              <c:f>'T-storm CN'!$A$44:$A$116</c:f>
              <c:numCache>
                <c:formatCode>0.00</c:formatCode>
                <c:ptCount val="73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</c:numCache>
            </c:numRef>
          </c:xVal>
          <c:yVal>
            <c:numRef>
              <c:f>'T-storm CN'!$E$44:$E$116</c:f>
              <c:numCache>
                <c:formatCode>0.0000</c:formatCode>
                <c:ptCount val="73"/>
                <c:pt idx="0">
                  <c:v>0</c:v>
                </c:pt>
                <c:pt idx="1">
                  <c:v>6.3599999999999993E-3</c:v>
                </c:pt>
                <c:pt idx="2">
                  <c:v>7.980000000000001E-3</c:v>
                </c:pt>
                <c:pt idx="3">
                  <c:v>9.5700000000000004E-3</c:v>
                </c:pt>
                <c:pt idx="4">
                  <c:v>1.116E-2</c:v>
                </c:pt>
                <c:pt idx="5">
                  <c:v>1.2750000000000001E-2</c:v>
                </c:pt>
                <c:pt idx="6">
                  <c:v>1.4340000000000002E-2</c:v>
                </c:pt>
                <c:pt idx="7">
                  <c:v>1.5893750000000002E-2</c:v>
                </c:pt>
                <c:pt idx="8">
                  <c:v>1.5893750000000002E-2</c:v>
                </c:pt>
                <c:pt idx="9">
                  <c:v>1.5893750000000002E-2</c:v>
                </c:pt>
                <c:pt idx="10">
                  <c:v>1.5893750000000002E-2</c:v>
                </c:pt>
                <c:pt idx="11">
                  <c:v>1.5893750000000002E-2</c:v>
                </c:pt>
                <c:pt idx="12">
                  <c:v>1.5893750000000002E-2</c:v>
                </c:pt>
                <c:pt idx="13">
                  <c:v>1.5893750000000002E-2</c:v>
                </c:pt>
                <c:pt idx="14">
                  <c:v>1.5893750000000002E-2</c:v>
                </c:pt>
                <c:pt idx="15">
                  <c:v>1.5893750000000002E-2</c:v>
                </c:pt>
                <c:pt idx="16">
                  <c:v>1.5893750000000002E-2</c:v>
                </c:pt>
                <c:pt idx="17">
                  <c:v>1.5893750000000002E-2</c:v>
                </c:pt>
                <c:pt idx="18">
                  <c:v>1.5893750000000002E-2</c:v>
                </c:pt>
                <c:pt idx="19">
                  <c:v>1.5893750000000002E-2</c:v>
                </c:pt>
                <c:pt idx="20">
                  <c:v>1.5893750000000002E-2</c:v>
                </c:pt>
                <c:pt idx="21">
                  <c:v>1.5893750000000002E-2</c:v>
                </c:pt>
                <c:pt idx="22">
                  <c:v>1.5893750000000002E-2</c:v>
                </c:pt>
                <c:pt idx="23">
                  <c:v>1.5893750000000002E-2</c:v>
                </c:pt>
                <c:pt idx="24">
                  <c:v>1.5893750000000002E-2</c:v>
                </c:pt>
                <c:pt idx="25">
                  <c:v>1.5893750000000002E-2</c:v>
                </c:pt>
                <c:pt idx="26">
                  <c:v>1.5893750000000002E-2</c:v>
                </c:pt>
                <c:pt idx="27">
                  <c:v>1.5893750000000002E-2</c:v>
                </c:pt>
                <c:pt idx="28">
                  <c:v>1.5893750000000002E-2</c:v>
                </c:pt>
                <c:pt idx="29">
                  <c:v>1.5893750000000002E-2</c:v>
                </c:pt>
                <c:pt idx="30">
                  <c:v>1.5893750000000002E-2</c:v>
                </c:pt>
                <c:pt idx="31">
                  <c:v>1.5893750000000002E-2</c:v>
                </c:pt>
                <c:pt idx="32">
                  <c:v>1.5893750000000002E-2</c:v>
                </c:pt>
                <c:pt idx="33">
                  <c:v>1.5893750000000002E-2</c:v>
                </c:pt>
                <c:pt idx="34">
                  <c:v>1.5893750000000002E-2</c:v>
                </c:pt>
                <c:pt idx="35">
                  <c:v>1.5893750000000002E-2</c:v>
                </c:pt>
                <c:pt idx="36">
                  <c:v>1.5893750000000002E-2</c:v>
                </c:pt>
                <c:pt idx="37">
                  <c:v>1.5893750000000002E-2</c:v>
                </c:pt>
                <c:pt idx="38">
                  <c:v>1.5893750000000002E-2</c:v>
                </c:pt>
                <c:pt idx="39">
                  <c:v>1.5893750000000002E-2</c:v>
                </c:pt>
                <c:pt idx="40">
                  <c:v>1.5893750000000002E-2</c:v>
                </c:pt>
                <c:pt idx="41">
                  <c:v>1.5893750000000002E-2</c:v>
                </c:pt>
                <c:pt idx="42">
                  <c:v>1.5893750000000002E-2</c:v>
                </c:pt>
                <c:pt idx="43">
                  <c:v>1.5893750000000002E-2</c:v>
                </c:pt>
                <c:pt idx="44">
                  <c:v>1.5893750000000002E-2</c:v>
                </c:pt>
                <c:pt idx="45">
                  <c:v>1.5893750000000002E-2</c:v>
                </c:pt>
                <c:pt idx="46">
                  <c:v>1.5893750000000002E-2</c:v>
                </c:pt>
                <c:pt idx="47">
                  <c:v>1.5893750000000002E-2</c:v>
                </c:pt>
                <c:pt idx="48">
                  <c:v>1.5893750000000002E-2</c:v>
                </c:pt>
                <c:pt idx="49">
                  <c:v>1.5893750000000002E-2</c:v>
                </c:pt>
                <c:pt idx="50">
                  <c:v>1.5893750000000002E-2</c:v>
                </c:pt>
                <c:pt idx="51">
                  <c:v>1.5893750000000002E-2</c:v>
                </c:pt>
                <c:pt idx="52">
                  <c:v>1.5893750000000002E-2</c:v>
                </c:pt>
                <c:pt idx="53">
                  <c:v>1.5893750000000002E-2</c:v>
                </c:pt>
                <c:pt idx="54">
                  <c:v>1.5893750000000002E-2</c:v>
                </c:pt>
                <c:pt idx="55">
                  <c:v>1.5893750000000002E-2</c:v>
                </c:pt>
                <c:pt idx="56">
                  <c:v>1.5893750000000002E-2</c:v>
                </c:pt>
                <c:pt idx="57">
                  <c:v>1.5893750000000002E-2</c:v>
                </c:pt>
                <c:pt idx="58">
                  <c:v>1.5893750000000002E-2</c:v>
                </c:pt>
                <c:pt idx="59">
                  <c:v>1.5893750000000002E-2</c:v>
                </c:pt>
                <c:pt idx="60">
                  <c:v>1.5893750000000002E-2</c:v>
                </c:pt>
                <c:pt idx="61">
                  <c:v>1.5893750000000002E-2</c:v>
                </c:pt>
                <c:pt idx="62">
                  <c:v>1.5893750000000002E-2</c:v>
                </c:pt>
                <c:pt idx="63">
                  <c:v>1.5893750000000002E-2</c:v>
                </c:pt>
                <c:pt idx="64">
                  <c:v>1.5893750000000002E-2</c:v>
                </c:pt>
                <c:pt idx="65">
                  <c:v>1.5893750000000002E-2</c:v>
                </c:pt>
                <c:pt idx="66">
                  <c:v>1.5893750000000002E-2</c:v>
                </c:pt>
                <c:pt idx="67">
                  <c:v>1.5893750000000002E-2</c:v>
                </c:pt>
                <c:pt idx="68">
                  <c:v>1.5893750000000002E-2</c:v>
                </c:pt>
                <c:pt idx="69">
                  <c:v>1.5893750000000002E-2</c:v>
                </c:pt>
                <c:pt idx="70">
                  <c:v>1.5893750000000002E-2</c:v>
                </c:pt>
                <c:pt idx="71">
                  <c:v>1.5893750000000002E-2</c:v>
                </c:pt>
                <c:pt idx="72">
                  <c:v>1.5893750000000002E-2</c:v>
                </c:pt>
              </c:numCache>
            </c:numRef>
          </c:yVal>
          <c:smooth val="1"/>
        </c:ser>
        <c:ser>
          <c:idx val="0"/>
          <c:order val="2"/>
          <c:tx>
            <c:v>Storm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 w="22225">
                <a:solidFill>
                  <a:srgbClr val="000080"/>
                </a:solidFill>
                <a:prstDash val="solid"/>
              </a:ln>
            </c:spPr>
          </c:marker>
          <c:xVal>
            <c:numRef>
              <c:f>'T-storm CN'!$A$44:$A$116</c:f>
              <c:numCache>
                <c:formatCode>0.00</c:formatCode>
                <c:ptCount val="73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</c:numCache>
            </c:numRef>
          </c:xVal>
          <c:yVal>
            <c:numRef>
              <c:f>'T-storm CN'!$C$44:$C$116</c:f>
              <c:numCache>
                <c:formatCode>0.0000</c:formatCode>
                <c:ptCount val="73"/>
                <c:pt idx="0">
                  <c:v>0</c:v>
                </c:pt>
                <c:pt idx="1">
                  <c:v>6.3599999999999993E-3</c:v>
                </c:pt>
                <c:pt idx="2">
                  <c:v>7.980000000000001E-3</c:v>
                </c:pt>
                <c:pt idx="3">
                  <c:v>9.5700000000000004E-3</c:v>
                </c:pt>
                <c:pt idx="4">
                  <c:v>1.116E-2</c:v>
                </c:pt>
                <c:pt idx="5">
                  <c:v>1.2750000000000001E-2</c:v>
                </c:pt>
                <c:pt idx="6">
                  <c:v>1.4340000000000002E-2</c:v>
                </c:pt>
                <c:pt idx="7">
                  <c:v>1.5960000000000002E-2</c:v>
                </c:pt>
                <c:pt idx="8">
                  <c:v>1.755E-2</c:v>
                </c:pt>
                <c:pt idx="9">
                  <c:v>1.9140000000000001E-2</c:v>
                </c:pt>
                <c:pt idx="10">
                  <c:v>2.0730000000000002E-2</c:v>
                </c:pt>
                <c:pt idx="11">
                  <c:v>2.2350000000000002E-2</c:v>
                </c:pt>
                <c:pt idx="12">
                  <c:v>2.3939999999999996E-2</c:v>
                </c:pt>
                <c:pt idx="13">
                  <c:v>2.5530000000000001E-2</c:v>
                </c:pt>
                <c:pt idx="14">
                  <c:v>2.7119999999999998E-2</c:v>
                </c:pt>
                <c:pt idx="15">
                  <c:v>2.8709999999999999E-2</c:v>
                </c:pt>
                <c:pt idx="16">
                  <c:v>3.0329999999999996E-2</c:v>
                </c:pt>
                <c:pt idx="17">
                  <c:v>3.1920000000000004E-2</c:v>
                </c:pt>
                <c:pt idx="18">
                  <c:v>3.3509999999999998E-2</c:v>
                </c:pt>
                <c:pt idx="19">
                  <c:v>3.5099999999999999E-2</c:v>
                </c:pt>
                <c:pt idx="20">
                  <c:v>3.6719999999999996E-2</c:v>
                </c:pt>
                <c:pt idx="21">
                  <c:v>3.8309999999999997E-2</c:v>
                </c:pt>
                <c:pt idx="22">
                  <c:v>3.9899999999999998E-2</c:v>
                </c:pt>
                <c:pt idx="23">
                  <c:v>4.308E-2</c:v>
                </c:pt>
                <c:pt idx="24">
                  <c:v>4.7879999999999992E-2</c:v>
                </c:pt>
                <c:pt idx="25">
                  <c:v>5.4269999999999999E-2</c:v>
                </c:pt>
                <c:pt idx="26">
                  <c:v>6.2549999999999994E-2</c:v>
                </c:pt>
                <c:pt idx="27">
                  <c:v>7.2300000000000003E-2</c:v>
                </c:pt>
                <c:pt idx="28">
                  <c:v>6.2549999999999994E-2</c:v>
                </c:pt>
                <c:pt idx="29">
                  <c:v>5.4269999999999999E-2</c:v>
                </c:pt>
                <c:pt idx="30">
                  <c:v>4.7879999999999992E-2</c:v>
                </c:pt>
                <c:pt idx="31">
                  <c:v>4.308E-2</c:v>
                </c:pt>
                <c:pt idx="32">
                  <c:v>3.9899999999999998E-2</c:v>
                </c:pt>
                <c:pt idx="33">
                  <c:v>3.6719999999999996E-2</c:v>
                </c:pt>
                <c:pt idx="34">
                  <c:v>3.3509999999999998E-2</c:v>
                </c:pt>
                <c:pt idx="35">
                  <c:v>3.0329999999999996E-2</c:v>
                </c:pt>
                <c:pt idx="36">
                  <c:v>2.7119999999999998E-2</c:v>
                </c:pt>
                <c:pt idx="37">
                  <c:v>2.3939999999999996E-2</c:v>
                </c:pt>
                <c:pt idx="38">
                  <c:v>2.154E-2</c:v>
                </c:pt>
                <c:pt idx="39">
                  <c:v>1.9140000000000001E-2</c:v>
                </c:pt>
                <c:pt idx="40">
                  <c:v>1.9949999999999999E-2</c:v>
                </c:pt>
                <c:pt idx="41">
                  <c:v>2.0730000000000002E-2</c:v>
                </c:pt>
                <c:pt idx="42">
                  <c:v>2.154E-2</c:v>
                </c:pt>
                <c:pt idx="43">
                  <c:v>2.3129999999999998E-2</c:v>
                </c:pt>
                <c:pt idx="44">
                  <c:v>2.3939999999999996E-2</c:v>
                </c:pt>
                <c:pt idx="45">
                  <c:v>3.0329999999999996E-2</c:v>
                </c:pt>
                <c:pt idx="46">
                  <c:v>4.4700000000000004E-2</c:v>
                </c:pt>
                <c:pt idx="47">
                  <c:v>5.4269999999999999E-2</c:v>
                </c:pt>
                <c:pt idx="48">
                  <c:v>6.1440000000000008E-2</c:v>
                </c:pt>
                <c:pt idx="49">
                  <c:v>6.545999999999999E-2</c:v>
                </c:pt>
                <c:pt idx="50">
                  <c:v>6.8640000000000007E-2</c:v>
                </c:pt>
                <c:pt idx="51">
                  <c:v>7.1039999999999992E-2</c:v>
                </c:pt>
                <c:pt idx="52">
                  <c:v>8.1420000000000006E-2</c:v>
                </c:pt>
                <c:pt idx="53">
                  <c:v>0.10536</c:v>
                </c:pt>
                <c:pt idx="54">
                  <c:v>0.20274</c:v>
                </c:pt>
                <c:pt idx="55">
                  <c:v>0.11655000000000001</c:v>
                </c:pt>
                <c:pt idx="56">
                  <c:v>9.7380000000000008E-2</c:v>
                </c:pt>
                <c:pt idx="57">
                  <c:v>7.1819999999999995E-2</c:v>
                </c:pt>
                <c:pt idx="58">
                  <c:v>6.9449999999999998E-2</c:v>
                </c:pt>
                <c:pt idx="59">
                  <c:v>6.8640000000000007E-2</c:v>
                </c:pt>
                <c:pt idx="60">
                  <c:v>6.6239999999999993E-2</c:v>
                </c:pt>
                <c:pt idx="61">
                  <c:v>6.225E-2</c:v>
                </c:pt>
                <c:pt idx="62">
                  <c:v>5.985E-2</c:v>
                </c:pt>
                <c:pt idx="63">
                  <c:v>5.4269999999999999E-2</c:v>
                </c:pt>
                <c:pt idx="64">
                  <c:v>4.1489999999999999E-2</c:v>
                </c:pt>
                <c:pt idx="65">
                  <c:v>3.4320000000000003E-2</c:v>
                </c:pt>
                <c:pt idx="66">
                  <c:v>2.154E-2</c:v>
                </c:pt>
                <c:pt idx="67">
                  <c:v>2.0730000000000002E-2</c:v>
                </c:pt>
                <c:pt idx="68">
                  <c:v>1.9949999999999999E-2</c:v>
                </c:pt>
                <c:pt idx="69">
                  <c:v>1.9140000000000001E-2</c:v>
                </c:pt>
                <c:pt idx="70">
                  <c:v>1.8359999999999998E-2</c:v>
                </c:pt>
                <c:pt idx="71">
                  <c:v>1.755E-2</c:v>
                </c:pt>
                <c:pt idx="72">
                  <c:v>1.6739999999999998E-2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547392"/>
        <c:axId val="258546608"/>
      </c:scatterChart>
      <c:valAx>
        <c:axId val="25854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hours</a:t>
                </a:r>
              </a:p>
            </c:rich>
          </c:tx>
          <c:layout>
            <c:manualLayout>
              <c:xMode val="edge"/>
              <c:yMode val="edge"/>
              <c:x val="0.47612189939421168"/>
              <c:y val="0.87955422672177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46608"/>
        <c:crosses val="autoZero"/>
        <c:crossBetween val="midCat"/>
      </c:valAx>
      <c:valAx>
        <c:axId val="258546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Intensity, in./time-step</a:t>
                </a:r>
              </a:p>
            </c:rich>
          </c:tx>
          <c:layout>
            <c:manualLayout>
              <c:xMode val="edge"/>
              <c:yMode val="edge"/>
              <c:x val="1.7366136034732287E-2"/>
              <c:y val="0.27170939095871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47392"/>
        <c:crosses val="autoZero"/>
        <c:crossBetween val="midCat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Storm, interflow &amp; loss hyetographs</a:t>
            </a:r>
          </a:p>
        </c:rich>
      </c:tx>
      <c:layout>
        <c:manualLayout>
          <c:xMode val="edge"/>
          <c:yMode val="edge"/>
          <c:x val="0.2995660582814608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9124788805958"/>
          <c:y val="0.19327783962994469"/>
          <c:w val="0.85576520011698975"/>
          <c:h val="0.59944141566389308"/>
        </c:manualLayout>
      </c:layout>
      <c:scatterChart>
        <c:scatterStyle val="smoothMarker"/>
        <c:varyColors val="0"/>
        <c:ser>
          <c:idx val="1"/>
          <c:order val="0"/>
          <c:tx>
            <c:v>Interflow</c:v>
          </c:tx>
          <c:spPr>
            <a:ln w="22225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 w="22225">
                <a:solidFill>
                  <a:srgbClr val="800000"/>
                </a:solidFill>
                <a:prstDash val="solid"/>
              </a:ln>
            </c:spPr>
          </c:marker>
          <c:xVal>
            <c:numRef>
              <c:f>'T-storm CN'!$N$44:$N$92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</c:numCache>
            </c:numRef>
          </c:xVal>
          <c:yVal>
            <c:numRef>
              <c:f>'T-storm CN'!$Q$44:$Q$92</c:f>
              <c:numCache>
                <c:formatCode>0.0000</c:formatCode>
                <c:ptCount val="49"/>
                <c:pt idx="0">
                  <c:v>0</c:v>
                </c:pt>
                <c:pt idx="1">
                  <c:v>2.928E-3</c:v>
                </c:pt>
                <c:pt idx="2">
                  <c:v>5.2979166666666669E-3</c:v>
                </c:pt>
                <c:pt idx="3">
                  <c:v>5.2979166666666669E-3</c:v>
                </c:pt>
                <c:pt idx="4">
                  <c:v>5.2979166666666669E-3</c:v>
                </c:pt>
                <c:pt idx="5">
                  <c:v>5.2979166666666669E-3</c:v>
                </c:pt>
                <c:pt idx="6">
                  <c:v>5.2979166666666669E-3</c:v>
                </c:pt>
                <c:pt idx="7">
                  <c:v>5.2979166666666669E-3</c:v>
                </c:pt>
                <c:pt idx="8">
                  <c:v>3.6640000000000002E-3</c:v>
                </c:pt>
                <c:pt idx="9">
                  <c:v>1.464E-3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4.7600000000000003E-3</c:v>
                </c:pt>
                <c:pt idx="17">
                  <c:v>5.2979166666666669E-3</c:v>
                </c:pt>
                <c:pt idx="18">
                  <c:v>5.2979166666666669E-3</c:v>
                </c:pt>
                <c:pt idx="19">
                  <c:v>5.2979166666666669E-3</c:v>
                </c:pt>
                <c:pt idx="20">
                  <c:v>5.2979166666666669E-3</c:v>
                </c:pt>
                <c:pt idx="21">
                  <c:v>5.2979166666666669E-3</c:v>
                </c:pt>
                <c:pt idx="22">
                  <c:v>5.2979166666666669E-3</c:v>
                </c:pt>
                <c:pt idx="23">
                  <c:v>5.2979166666666669E-3</c:v>
                </c:pt>
                <c:pt idx="24">
                  <c:v>5.2979166666666669E-3</c:v>
                </c:pt>
                <c:pt idx="25">
                  <c:v>5.2979166666666669E-3</c:v>
                </c:pt>
                <c:pt idx="26">
                  <c:v>5.2979166666666669E-3</c:v>
                </c:pt>
                <c:pt idx="27">
                  <c:v>5.2979166666666669E-3</c:v>
                </c:pt>
                <c:pt idx="28">
                  <c:v>5.2979166666666669E-3</c:v>
                </c:pt>
                <c:pt idx="29">
                  <c:v>5.2979166666666669E-3</c:v>
                </c:pt>
                <c:pt idx="30">
                  <c:v>5.2979166666666669E-3</c:v>
                </c:pt>
                <c:pt idx="31">
                  <c:v>5.2979166666666669E-3</c:v>
                </c:pt>
                <c:pt idx="32">
                  <c:v>5.2979166666666669E-3</c:v>
                </c:pt>
                <c:pt idx="33">
                  <c:v>5.2979166666666669E-3</c:v>
                </c:pt>
                <c:pt idx="34">
                  <c:v>3.8800000000000002E-3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Deep GW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00"/>
              </a:solidFill>
              <a:ln w="22225">
                <a:solidFill>
                  <a:srgbClr val="008000"/>
                </a:solidFill>
                <a:prstDash val="solid"/>
              </a:ln>
            </c:spPr>
          </c:marker>
          <c:xVal>
            <c:numRef>
              <c:f>'T-storm CN'!$N$44:$N$92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</c:numCache>
            </c:numRef>
          </c:xVal>
          <c:yVal>
            <c:numRef>
              <c:f>'T-storm CN'!$R$44:$R$92</c:f>
              <c:numCache>
                <c:formatCode>0.0000</c:formatCode>
                <c:ptCount val="49"/>
                <c:pt idx="0">
                  <c:v>0</c:v>
                </c:pt>
                <c:pt idx="1">
                  <c:v>2.928E-3</c:v>
                </c:pt>
                <c:pt idx="2">
                  <c:v>5.2979166666666669E-3</c:v>
                </c:pt>
                <c:pt idx="3">
                  <c:v>5.2979166666666669E-3</c:v>
                </c:pt>
                <c:pt idx="4">
                  <c:v>5.2979166666666669E-3</c:v>
                </c:pt>
                <c:pt idx="5">
                  <c:v>5.2979166666666669E-3</c:v>
                </c:pt>
                <c:pt idx="6">
                  <c:v>5.2979166666666669E-3</c:v>
                </c:pt>
                <c:pt idx="7">
                  <c:v>5.2979166666666669E-3</c:v>
                </c:pt>
                <c:pt idx="8">
                  <c:v>3.6640000000000002E-3</c:v>
                </c:pt>
                <c:pt idx="9">
                  <c:v>1.464E-3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4.7600000000000003E-3</c:v>
                </c:pt>
                <c:pt idx="17">
                  <c:v>5.2979166666666669E-3</c:v>
                </c:pt>
                <c:pt idx="18">
                  <c:v>5.2979166666666669E-3</c:v>
                </c:pt>
                <c:pt idx="19">
                  <c:v>5.2979166666666669E-3</c:v>
                </c:pt>
                <c:pt idx="20">
                  <c:v>5.2979166666666669E-3</c:v>
                </c:pt>
                <c:pt idx="21">
                  <c:v>5.2979166666666669E-3</c:v>
                </c:pt>
                <c:pt idx="22">
                  <c:v>5.2979166666666669E-3</c:v>
                </c:pt>
                <c:pt idx="23">
                  <c:v>5.2979166666666669E-3</c:v>
                </c:pt>
                <c:pt idx="24">
                  <c:v>5.2979166666666669E-3</c:v>
                </c:pt>
                <c:pt idx="25">
                  <c:v>5.2979166666666669E-3</c:v>
                </c:pt>
                <c:pt idx="26">
                  <c:v>5.2979166666666669E-3</c:v>
                </c:pt>
                <c:pt idx="27">
                  <c:v>5.2979166666666669E-3</c:v>
                </c:pt>
                <c:pt idx="28">
                  <c:v>5.2979166666666669E-3</c:v>
                </c:pt>
                <c:pt idx="29">
                  <c:v>5.2979166666666669E-3</c:v>
                </c:pt>
                <c:pt idx="30">
                  <c:v>5.2979166666666669E-3</c:v>
                </c:pt>
                <c:pt idx="31">
                  <c:v>5.2979166666666669E-3</c:v>
                </c:pt>
                <c:pt idx="32">
                  <c:v>5.2979166666666669E-3</c:v>
                </c:pt>
                <c:pt idx="33">
                  <c:v>5.2979166666666669E-3</c:v>
                </c:pt>
                <c:pt idx="34">
                  <c:v>3.8800000000000002E-3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Storm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 w="22225">
                <a:solidFill>
                  <a:srgbClr val="000080"/>
                </a:solidFill>
                <a:prstDash val="solid"/>
              </a:ln>
            </c:spPr>
          </c:marker>
          <c:xVal>
            <c:numRef>
              <c:f>'T-storm CN'!$N$44:$N$92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</c:numCache>
            </c:numRef>
          </c:xVal>
          <c:yVal>
            <c:numRef>
              <c:f>'T-storm CN'!$P$44:$P$92</c:f>
              <c:numCache>
                <c:formatCode>0.0000</c:formatCode>
                <c:ptCount val="49"/>
                <c:pt idx="0">
                  <c:v>0</c:v>
                </c:pt>
                <c:pt idx="1">
                  <c:v>2.928E-3</c:v>
                </c:pt>
                <c:pt idx="2">
                  <c:v>6.5920000000000006E-3</c:v>
                </c:pt>
                <c:pt idx="3">
                  <c:v>8.7919999999999995E-3</c:v>
                </c:pt>
                <c:pt idx="4">
                  <c:v>1.1040000000000001E-2</c:v>
                </c:pt>
                <c:pt idx="5">
                  <c:v>1.4680000000000002E-2</c:v>
                </c:pt>
                <c:pt idx="6">
                  <c:v>1.1040000000000001E-2</c:v>
                </c:pt>
                <c:pt idx="7">
                  <c:v>6.5920000000000006E-3</c:v>
                </c:pt>
                <c:pt idx="8">
                  <c:v>3.6640000000000002E-3</c:v>
                </c:pt>
                <c:pt idx="9">
                  <c:v>1.464E-3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4.7600000000000003E-3</c:v>
                </c:pt>
                <c:pt idx="17">
                  <c:v>1.0264000000000001E-2</c:v>
                </c:pt>
                <c:pt idx="18">
                  <c:v>1.5912000000000003E-2</c:v>
                </c:pt>
                <c:pt idx="19">
                  <c:v>1.7448000000000002E-2</c:v>
                </c:pt>
                <c:pt idx="20">
                  <c:v>2.3463999999999999E-2</c:v>
                </c:pt>
                <c:pt idx="21">
                  <c:v>3.8128000000000002E-2</c:v>
                </c:pt>
                <c:pt idx="22">
                  <c:v>4.4728000000000004E-2</c:v>
                </c:pt>
                <c:pt idx="23">
                  <c:v>9.4592000000000009E-2</c:v>
                </c:pt>
                <c:pt idx="24">
                  <c:v>0.19944800000000001</c:v>
                </c:pt>
                <c:pt idx="25">
                  <c:v>0.12025600000000002</c:v>
                </c:pt>
                <c:pt idx="26">
                  <c:v>4.4728000000000004E-2</c:v>
                </c:pt>
                <c:pt idx="27">
                  <c:v>2.9471999999999998E-2</c:v>
                </c:pt>
                <c:pt idx="28">
                  <c:v>1.8984000000000001E-2</c:v>
                </c:pt>
                <c:pt idx="29">
                  <c:v>1.7375999999999999E-2</c:v>
                </c:pt>
                <c:pt idx="30">
                  <c:v>1.6344000000000001E-2</c:v>
                </c:pt>
                <c:pt idx="31">
                  <c:v>1.532E-2</c:v>
                </c:pt>
                <c:pt idx="32">
                  <c:v>1.0992000000000002E-2</c:v>
                </c:pt>
                <c:pt idx="33">
                  <c:v>7.1120000000000003E-3</c:v>
                </c:pt>
                <c:pt idx="34">
                  <c:v>3.8800000000000002E-3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547784"/>
        <c:axId val="258548176"/>
      </c:scatterChart>
      <c:valAx>
        <c:axId val="258547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hours</a:t>
                </a:r>
              </a:p>
            </c:rich>
          </c:tx>
          <c:layout>
            <c:manualLayout>
              <c:xMode val="edge"/>
              <c:yMode val="edge"/>
              <c:x val="0.47612189939420996"/>
              <c:y val="0.879554226721777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48176"/>
        <c:crosses val="autoZero"/>
        <c:crossBetween val="midCat"/>
      </c:valAx>
      <c:valAx>
        <c:axId val="258548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Intensity, in./time-step</a:t>
                </a:r>
              </a:p>
            </c:rich>
          </c:tx>
          <c:layout>
            <c:manualLayout>
              <c:xMode val="edge"/>
              <c:yMode val="edge"/>
              <c:x val="1.7366136034732287E-2"/>
              <c:y val="0.27170939095871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47784"/>
        <c:crosses val="autoZero"/>
        <c:crossBetween val="midCat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135</xdr:row>
      <xdr:rowOff>0</xdr:rowOff>
    </xdr:from>
    <xdr:to>
      <xdr:col>11</xdr:col>
      <xdr:colOff>466725</xdr:colOff>
      <xdr:row>159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101</xdr:row>
      <xdr:rowOff>85725</xdr:rowOff>
    </xdr:from>
    <xdr:to>
      <xdr:col>24</xdr:col>
      <xdr:colOff>466725</xdr:colOff>
      <xdr:row>119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190500</xdr:rowOff>
    </xdr:from>
    <xdr:to>
      <xdr:col>1</xdr:col>
      <xdr:colOff>163830</xdr:colOff>
      <xdr:row>5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190500"/>
          <a:ext cx="80391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ortress.wa.gov/ecy/publications/SummaryPages/1511013.html" TargetMode="External"/><Relationship Id="rId1" Type="http://schemas.openxmlformats.org/officeDocument/2006/relationships/hyperlink" Target="mailto:mwal461@ecy.wa.gov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zoomScaleNormal="100" workbookViewId="0">
      <selection activeCell="A2" sqref="A2"/>
    </sheetView>
  </sheetViews>
  <sheetFormatPr defaultColWidth="9" defaultRowHeight="12.75" customHeight="1" x14ac:dyDescent="0.2"/>
  <cols>
    <col min="1" max="16384" width="9" style="2"/>
  </cols>
  <sheetData>
    <row r="1" spans="1:11" ht="12.75" customHeight="1" x14ac:dyDescent="0.25">
      <c r="A1" s="28" t="s">
        <v>84</v>
      </c>
      <c r="B1"/>
      <c r="C1"/>
      <c r="D1"/>
      <c r="E1"/>
      <c r="F1"/>
      <c r="G1"/>
      <c r="H1"/>
      <c r="I1"/>
      <c r="J1"/>
      <c r="K1"/>
    </row>
    <row r="2" spans="1:11" ht="12.75" customHeight="1" x14ac:dyDescent="0.25">
      <c r="A2"/>
      <c r="B2"/>
      <c r="C2"/>
      <c r="D2"/>
      <c r="E2"/>
      <c r="F2"/>
      <c r="G2"/>
      <c r="H2"/>
      <c r="I2"/>
      <c r="J2"/>
      <c r="K2"/>
    </row>
    <row r="3" spans="1:11" ht="12.75" customHeight="1" x14ac:dyDescent="0.25">
      <c r="A3" s="9" t="s">
        <v>100</v>
      </c>
      <c r="B3"/>
      <c r="C3"/>
      <c r="D3"/>
      <c r="E3" s="28" t="s">
        <v>85</v>
      </c>
      <c r="F3"/>
      <c r="G3"/>
      <c r="J3"/>
      <c r="K3"/>
    </row>
    <row r="4" spans="1:11" ht="12.75" customHeight="1" x14ac:dyDescent="0.25">
      <c r="A4"/>
      <c r="B4" s="29" t="s">
        <v>86</v>
      </c>
      <c r="C4"/>
      <c r="D4"/>
      <c r="E4"/>
      <c r="F4"/>
      <c r="G4"/>
      <c r="H4"/>
      <c r="I4" s="12" t="s">
        <v>13</v>
      </c>
      <c r="J4" s="13">
        <v>1</v>
      </c>
      <c r="K4"/>
    </row>
    <row r="5" spans="1:11" ht="12.7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/>
    </row>
    <row r="6" spans="1:11" ht="12.75" customHeight="1" x14ac:dyDescent="0.25">
      <c r="A6" s="121" t="s">
        <v>98</v>
      </c>
      <c r="B6" s="95"/>
      <c r="C6" s="95"/>
      <c r="D6" s="95"/>
      <c r="E6" s="94"/>
      <c r="F6" s="94"/>
      <c r="G6" s="94"/>
      <c r="H6" s="90"/>
      <c r="I6" s="90"/>
      <c r="J6" s="90"/>
    </row>
    <row r="7" spans="1:11" ht="12.75" customHeight="1" x14ac:dyDescent="0.25">
      <c r="A7" s="90"/>
      <c r="B7" s="94"/>
      <c r="C7" s="94"/>
      <c r="D7" s="94"/>
      <c r="E7" s="94"/>
      <c r="F7" s="125" t="s">
        <v>151</v>
      </c>
      <c r="G7" s="94"/>
      <c r="H7" s="90"/>
      <c r="I7" s="90"/>
      <c r="J7" s="90"/>
    </row>
    <row r="8" spans="1:11" ht="12.75" customHeight="1" x14ac:dyDescent="0.25">
      <c r="A8" s="91" t="s">
        <v>120</v>
      </c>
      <c r="B8" s="96" t="s">
        <v>11</v>
      </c>
      <c r="C8" s="137" t="s">
        <v>162</v>
      </c>
      <c r="D8" s="97"/>
      <c r="E8" s="90"/>
      <c r="F8" s="94"/>
      <c r="G8" s="94"/>
      <c r="H8" s="90"/>
      <c r="I8" s="90"/>
      <c r="J8" s="90"/>
    </row>
    <row r="9" spans="1:11" ht="12.75" customHeight="1" x14ac:dyDescent="0.25">
      <c r="A9"/>
      <c r="B9"/>
      <c r="C9"/>
      <c r="D9"/>
      <c r="E9"/>
      <c r="F9" s="90"/>
      <c r="G9" s="90"/>
      <c r="H9" s="90"/>
      <c r="I9" s="90"/>
      <c r="J9" s="90"/>
    </row>
    <row r="10" spans="1:11" ht="12.75" customHeight="1" x14ac:dyDescent="0.25">
      <c r="A10" s="64" t="s">
        <v>102</v>
      </c>
      <c r="B10"/>
      <c r="C10"/>
      <c r="D10"/>
      <c r="E10"/>
      <c r="F10"/>
      <c r="G10" s="63" t="s">
        <v>101</v>
      </c>
      <c r="H10"/>
      <c r="I10"/>
      <c r="J10"/>
    </row>
    <row r="11" spans="1:11" ht="12.75" customHeight="1" x14ac:dyDescent="0.25">
      <c r="A11" s="66" t="s">
        <v>104</v>
      </c>
      <c r="B11" s="68">
        <v>6600</v>
      </c>
      <c r="C11" s="69" t="s">
        <v>105</v>
      </c>
      <c r="D11" s="67">
        <f>B11/640</f>
        <v>10.3125</v>
      </c>
      <c r="E11" t="s">
        <v>12</v>
      </c>
      <c r="F11"/>
      <c r="G11" t="s">
        <v>103</v>
      </c>
      <c r="H11" s="65">
        <f>J34</f>
        <v>88.867813353566007</v>
      </c>
      <c r="I11" s="66" t="s">
        <v>39</v>
      </c>
      <c r="J11" s="67">
        <f>(1000/H11)-10</f>
        <v>1.2526680050226862</v>
      </c>
    </row>
    <row r="12" spans="1:11" ht="12.75" customHeight="1" x14ac:dyDescent="0.25">
      <c r="A12" s="66" t="s">
        <v>108</v>
      </c>
      <c r="B12" s="129">
        <v>48.2</v>
      </c>
      <c r="C12" s="66" t="s">
        <v>39</v>
      </c>
      <c r="D12" s="67">
        <f>(1000/B12)-10</f>
        <v>10.746887966804977</v>
      </c>
      <c r="E12"/>
      <c r="F12"/>
      <c r="G12" s="70" t="s">
        <v>106</v>
      </c>
      <c r="H12"/>
      <c r="I12" s="174">
        <f>0.2*J11</f>
        <v>0.25053360100453725</v>
      </c>
      <c r="J12" s="138" t="s">
        <v>107</v>
      </c>
    </row>
    <row r="13" spans="1:11" ht="12.75" customHeight="1" x14ac:dyDescent="0.25">
      <c r="A13" s="70" t="s">
        <v>110</v>
      </c>
      <c r="B13"/>
      <c r="C13"/>
      <c r="D13" s="67">
        <f>0.2*D12</f>
        <v>2.1493775933609953</v>
      </c>
      <c r="E13" t="s">
        <v>107</v>
      </c>
      <c r="F13"/>
      <c r="G13" t="s">
        <v>109</v>
      </c>
      <c r="H13" s="65">
        <f>'T-storm CN'!U30</f>
        <v>98.703612575185844</v>
      </c>
      <c r="I13" s="66" t="s">
        <v>39</v>
      </c>
      <c r="J13" s="67">
        <f>(1000/H13)-10</f>
        <v>0.13134143634577278</v>
      </c>
    </row>
    <row r="14" spans="1:11" ht="12.75" customHeight="1" x14ac:dyDescent="0.25">
      <c r="A14" s="71" t="s">
        <v>111</v>
      </c>
      <c r="B14"/>
      <c r="C14"/>
      <c r="D14" s="68">
        <v>900</v>
      </c>
      <c r="E14" t="s">
        <v>112</v>
      </c>
      <c r="F14"/>
      <c r="G14" s="70" t="s">
        <v>106</v>
      </c>
      <c r="H14"/>
      <c r="I14" s="174">
        <f>0.2*J13</f>
        <v>2.6268287269154558E-2</v>
      </c>
      <c r="J14" s="138" t="s">
        <v>107</v>
      </c>
    </row>
    <row r="15" spans="1:11" ht="12.75" customHeight="1" x14ac:dyDescent="0.25">
      <c r="A15" s="71" t="s">
        <v>113</v>
      </c>
      <c r="B15"/>
      <c r="C15"/>
      <c r="D15" s="72">
        <f>0.6*D14</f>
        <v>540</v>
      </c>
      <c r="E15" t="s">
        <v>112</v>
      </c>
      <c r="F15"/>
      <c r="G15"/>
      <c r="H15"/>
      <c r="I15"/>
      <c r="J15"/>
    </row>
    <row r="16" spans="1:11" ht="12.75" customHeight="1" x14ac:dyDescent="0.25">
      <c r="A16" s="73" t="s">
        <v>115</v>
      </c>
      <c r="B16"/>
      <c r="C16"/>
      <c r="D16"/>
      <c r="E16"/>
      <c r="F16"/>
      <c r="G16" t="s">
        <v>114</v>
      </c>
      <c r="H16"/>
      <c r="I16" s="104">
        <f>'T-storm CN'!C24</f>
        <v>6.3575000000000007E-2</v>
      </c>
      <c r="J16" t="s">
        <v>64</v>
      </c>
    </row>
    <row r="17" spans="1:19" ht="12.75" customHeight="1" x14ac:dyDescent="0.25">
      <c r="A17" s="74" t="s">
        <v>116</v>
      </c>
      <c r="B17"/>
      <c r="C17" s="75">
        <v>3</v>
      </c>
      <c r="D17" t="s">
        <v>107</v>
      </c>
      <c r="E17"/>
      <c r="F17"/>
      <c r="G17" s="71" t="s">
        <v>111</v>
      </c>
      <c r="H17"/>
      <c r="I17"/>
      <c r="J17"/>
    </row>
    <row r="18" spans="1:19" ht="12.75" customHeight="1" x14ac:dyDescent="0.25">
      <c r="A18" s="74" t="s">
        <v>117</v>
      </c>
      <c r="B18"/>
      <c r="C18" s="75">
        <v>0.8</v>
      </c>
      <c r="D18" t="s">
        <v>107</v>
      </c>
      <c r="E18"/>
      <c r="F18"/>
      <c r="G18"/>
      <c r="H18"/>
      <c r="I18" s="141">
        <f>D14*J39</f>
        <v>283.25955217320154</v>
      </c>
      <c r="J18" t="s">
        <v>112</v>
      </c>
    </row>
    <row r="19" spans="1:19" ht="12.75" customHeight="1" x14ac:dyDescent="0.25">
      <c r="A19" s="73" t="s">
        <v>118</v>
      </c>
      <c r="B19"/>
      <c r="C19"/>
      <c r="D19" s="76">
        <v>14</v>
      </c>
      <c r="E19"/>
      <c r="F19"/>
      <c r="G19" s="71" t="s">
        <v>113</v>
      </c>
      <c r="H19"/>
      <c r="I19" s="142"/>
      <c r="J19"/>
    </row>
    <row r="20" spans="1:19" ht="12.75" customHeight="1" x14ac:dyDescent="0.25">
      <c r="A20" s="92" t="s">
        <v>121</v>
      </c>
      <c r="B20"/>
      <c r="C20" s="73" t="s">
        <v>122</v>
      </c>
      <c r="D20" s="76">
        <v>11</v>
      </c>
      <c r="E20"/>
      <c r="F20"/>
      <c r="G20"/>
      <c r="H20"/>
      <c r="I20" s="141">
        <f>D15*J39</f>
        <v>169.95573130392091</v>
      </c>
      <c r="J20" t="s">
        <v>112</v>
      </c>
    </row>
    <row r="21" spans="1:19" ht="12.75" customHeight="1" x14ac:dyDescent="0.25">
      <c r="A21"/>
      <c r="B21"/>
      <c r="C21" s="73" t="s">
        <v>123</v>
      </c>
      <c r="D21" s="76">
        <v>6</v>
      </c>
      <c r="E21"/>
      <c r="F21"/>
      <c r="G21"/>
      <c r="H21"/>
      <c r="I21"/>
      <c r="J21"/>
    </row>
    <row r="22" spans="1:19" ht="12.75" customHeight="1" x14ac:dyDescent="0.25">
      <c r="F22"/>
      <c r="G22"/>
      <c r="H22"/>
    </row>
    <row r="23" spans="1:19" ht="12.75" customHeight="1" x14ac:dyDescent="0.25">
      <c r="A23"/>
      <c r="B23"/>
      <c r="C23"/>
      <c r="D23"/>
      <c r="E23"/>
      <c r="F23"/>
      <c r="G23"/>
    </row>
    <row r="24" spans="1:19" ht="12.75" customHeight="1" x14ac:dyDescent="0.25">
      <c r="A24" s="105" t="s">
        <v>124</v>
      </c>
      <c r="B24"/>
      <c r="C24"/>
      <c r="D24"/>
      <c r="E24"/>
      <c r="F24" s="140" t="s">
        <v>163</v>
      </c>
      <c r="G24"/>
      <c r="H24" s="175" t="s">
        <v>229</v>
      </c>
    </row>
    <row r="25" spans="1:19" ht="12.75" customHeight="1" x14ac:dyDescent="0.25">
      <c r="A25" s="90"/>
      <c r="B25" s="90"/>
      <c r="C25" s="90"/>
      <c r="D25" s="90"/>
      <c r="E25" s="90"/>
      <c r="F25" s="90"/>
      <c r="G25" s="90"/>
      <c r="H25" s="109" t="s">
        <v>228</v>
      </c>
      <c r="J25" s="90"/>
    </row>
    <row r="26" spans="1:19" s="90" customFormat="1" ht="12.75" customHeight="1" x14ac:dyDescent="0.25">
      <c r="A26" s="69" t="s">
        <v>1</v>
      </c>
      <c r="B26"/>
      <c r="C26"/>
      <c r="D26"/>
      <c r="E26" s="2"/>
      <c r="F26" s="66"/>
      <c r="G26" s="77" t="s">
        <v>0</v>
      </c>
      <c r="H26" s="2"/>
      <c r="I26" s="66"/>
      <c r="J26" s="127" t="s">
        <v>0</v>
      </c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5">
      <c r="A27" s="78" t="s">
        <v>2</v>
      </c>
      <c r="B27" s="79" t="s">
        <v>3</v>
      </c>
      <c r="C27" s="107" t="s">
        <v>4</v>
      </c>
      <c r="D27" s="80"/>
      <c r="F27" s="79" t="s">
        <v>119</v>
      </c>
      <c r="G27" s="79" t="s">
        <v>119</v>
      </c>
      <c r="H27" s="79" t="s">
        <v>218</v>
      </c>
      <c r="I27" s="167" t="s">
        <v>217</v>
      </c>
      <c r="J27" s="167" t="s">
        <v>217</v>
      </c>
    </row>
    <row r="28" spans="1:19" ht="12.75" customHeight="1" x14ac:dyDescent="0.25">
      <c r="A28" t="s">
        <v>5</v>
      </c>
      <c r="B28" s="81">
        <v>2800</v>
      </c>
      <c r="C28" s="80">
        <f>B28/B33*100</f>
        <v>42.488619119878599</v>
      </c>
      <c r="D28" s="93" t="s">
        <v>72</v>
      </c>
      <c r="F28" s="82">
        <f>B44</f>
        <v>95</v>
      </c>
      <c r="G28" s="83">
        <f>F28*C28/100</f>
        <v>40.36418816388467</v>
      </c>
      <c r="H28" s="166">
        <f>(1000/F28)-10</f>
        <v>0.52631578947368496</v>
      </c>
      <c r="I28" s="166">
        <f>((MAX((C17-(0.2*H28)),0))^2)/(C17+(0.8*H28))</f>
        <v>2.4493927125506065</v>
      </c>
      <c r="J28" s="166">
        <f>I28*C28/100</f>
        <v>1.0407131403856902</v>
      </c>
    </row>
    <row r="29" spans="1:19" ht="12.75" customHeight="1" x14ac:dyDescent="0.25">
      <c r="A29" t="s">
        <v>6</v>
      </c>
      <c r="B29" s="81">
        <v>2750</v>
      </c>
      <c r="C29" s="80">
        <f>B29/B33*100</f>
        <v>41.729893778452201</v>
      </c>
      <c r="D29" s="93" t="s">
        <v>72</v>
      </c>
      <c r="F29" s="82">
        <f>B45</f>
        <v>90</v>
      </c>
      <c r="G29" s="83">
        <f>F29*C29/100</f>
        <v>37.556904400606982</v>
      </c>
      <c r="H29" s="166">
        <f>(1000/F29)-10</f>
        <v>1.1111111111111107</v>
      </c>
      <c r="I29" s="166">
        <f>((MAX((C17-(0.2*H29)),0))^2)/(C17+(0.8*H29))</f>
        <v>1.9841269841269842</v>
      </c>
      <c r="J29" s="166">
        <f>I29*C29/100</f>
        <v>0.82797408290579766</v>
      </c>
    </row>
    <row r="30" spans="1:19" ht="12.75" customHeight="1" x14ac:dyDescent="0.25">
      <c r="A30" t="s">
        <v>7</v>
      </c>
      <c r="B30" s="81">
        <v>750</v>
      </c>
      <c r="C30" s="80">
        <f>B30/B33*100</f>
        <v>11.380880121396055</v>
      </c>
      <c r="D30" s="93" t="s">
        <v>72</v>
      </c>
      <c r="F30" s="82">
        <f>B12+5</f>
        <v>53.2</v>
      </c>
      <c r="G30" s="83">
        <f>F30*C30/100</f>
        <v>6.054628224582701</v>
      </c>
      <c r="H30" s="166">
        <f>(1000/F30)-10</f>
        <v>8.7969924812030058</v>
      </c>
      <c r="I30" s="166">
        <f>((MAX((C17-(0.2*H30)),0))^2)/(C17+(0.8*H30))</f>
        <v>0.15333277012756616</v>
      </c>
      <c r="J30" s="166">
        <f>I30*C30/100</f>
        <v>1.7450618755034085E-2</v>
      </c>
    </row>
    <row r="31" spans="1:19" ht="12.75" customHeight="1" x14ac:dyDescent="0.25">
      <c r="A31" s="139" t="s">
        <v>8</v>
      </c>
      <c r="B31" s="86">
        <v>290</v>
      </c>
      <c r="C31" s="84">
        <f>B31/B33*100</f>
        <v>4.4006069802731407</v>
      </c>
      <c r="D31" s="93" t="s">
        <v>72</v>
      </c>
      <c r="F31" s="82">
        <f>B12</f>
        <v>48.2</v>
      </c>
      <c r="G31" s="87">
        <f>F31*C31/100</f>
        <v>2.1210925644916538</v>
      </c>
      <c r="H31" s="166">
        <f>(1000/F31)-10</f>
        <v>10.746887966804977</v>
      </c>
      <c r="I31" s="166">
        <f>((MAX((C17-(0.2*H31)),0))^2)/(C17+(0.8*H31))</f>
        <v>6.238912105939038E-2</v>
      </c>
      <c r="J31" s="168">
        <f>I31*C31/100</f>
        <v>2.7455000162705926E-3</v>
      </c>
    </row>
    <row r="32" spans="1:19" ht="12.75" customHeight="1" x14ac:dyDescent="0.25">
      <c r="A32"/>
      <c r="B32"/>
      <c r="C32"/>
      <c r="D32" s="80"/>
      <c r="F32" s="66" t="s">
        <v>222</v>
      </c>
      <c r="G32" s="171">
        <f>SUM(G28:G31)</f>
        <v>86.096813353566006</v>
      </c>
      <c r="I32" s="169" t="s">
        <v>219</v>
      </c>
      <c r="J32" s="172">
        <f>SUM(J28:J31)</f>
        <v>1.8888833420627926</v>
      </c>
    </row>
    <row r="33" spans="1:10" ht="12.75" customHeight="1" thickBot="1" x14ac:dyDescent="0.3">
      <c r="A33" t="s">
        <v>9</v>
      </c>
      <c r="B33" s="80">
        <f>SUM(B28:B31)</f>
        <v>6590</v>
      </c>
      <c r="C33" s="106">
        <f>SUM(C28:C31)</f>
        <v>100</v>
      </c>
      <c r="D33" s="108" t="s">
        <v>72</v>
      </c>
      <c r="F33" s="66" t="s">
        <v>220</v>
      </c>
      <c r="G33" s="166">
        <f>(1000/G32)-10</f>
        <v>1.6148317347517889</v>
      </c>
      <c r="I33" s="69" t="s">
        <v>221</v>
      </c>
    </row>
    <row r="34" spans="1:10" ht="12.75" customHeight="1" thickBot="1" x14ac:dyDescent="0.3">
      <c r="A34" s="127" t="s">
        <v>154</v>
      </c>
      <c r="B34" s="128">
        <f>(B33-B11)/B11*100</f>
        <v>-0.15151515151515152</v>
      </c>
      <c r="C34" s="108" t="s">
        <v>72</v>
      </c>
      <c r="D34"/>
      <c r="F34" s="169" t="s">
        <v>219</v>
      </c>
      <c r="G34" s="166">
        <f>((MAX((C17-(0.2*G33)),0))^2)/(C17+(0.8*G33))</f>
        <v>1.6697888987686673</v>
      </c>
      <c r="H34" s="173" t="s">
        <v>41</v>
      </c>
      <c r="I34" s="66" t="s">
        <v>38</v>
      </c>
      <c r="J34" s="180">
        <f>(G32)+2.771</f>
        <v>88.867813353566007</v>
      </c>
    </row>
    <row r="35" spans="1:10" ht="12.75" customHeight="1" x14ac:dyDescent="0.25">
      <c r="F35" s="85" t="s">
        <v>224</v>
      </c>
      <c r="G35" s="172">
        <f>(G34-J32)</f>
        <v>-0.21909444329412531</v>
      </c>
      <c r="H35" s="173" t="s">
        <v>41</v>
      </c>
      <c r="I35" s="66" t="s">
        <v>220</v>
      </c>
      <c r="J35" s="166">
        <f>(1000/J34)-10</f>
        <v>1.2526680050226862</v>
      </c>
    </row>
    <row r="36" spans="1:10" ht="12.75" customHeight="1" x14ac:dyDescent="0.25">
      <c r="F36" s="85" t="s">
        <v>224</v>
      </c>
      <c r="G36" s="171">
        <f>G35/J32*100</f>
        <v>-11.59915164770625</v>
      </c>
      <c r="H36" s="173" t="s">
        <v>72</v>
      </c>
      <c r="I36" s="169" t="s">
        <v>219</v>
      </c>
      <c r="J36" s="166">
        <f>((MAX((C17-(0.2*J35)),0))^2)/(C17+(0.8*J35))</f>
        <v>1.8888834596897253</v>
      </c>
    </row>
    <row r="37" spans="1:10" ht="12.75" customHeight="1" x14ac:dyDescent="0.25">
      <c r="A37"/>
      <c r="B37"/>
      <c r="I37" s="169" t="s">
        <v>49</v>
      </c>
      <c r="J37" s="170">
        <f>J36-J32</f>
        <v>1.1762693263861479E-7</v>
      </c>
    </row>
    <row r="39" spans="1:10" ht="12.75" customHeight="1" x14ac:dyDescent="0.25">
      <c r="F39" s="90"/>
      <c r="I39" s="88" t="s">
        <v>156</v>
      </c>
      <c r="J39" s="89">
        <f>((J11+1)/(D12+1))^(0.7)</f>
        <v>0.3147328357480017</v>
      </c>
    </row>
    <row r="40" spans="1:10" ht="12.75" customHeight="1" x14ac:dyDescent="0.25">
      <c r="A40" s="105" t="s">
        <v>125</v>
      </c>
      <c r="B40" s="90"/>
      <c r="C40" s="90"/>
      <c r="D40" s="90"/>
      <c r="E40" s="90"/>
      <c r="F40" s="90"/>
      <c r="G40" s="90"/>
      <c r="H40" s="90"/>
      <c r="I40" s="90"/>
    </row>
    <row r="41" spans="1:10" ht="12.75" customHeight="1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2.75" customHeight="1" x14ac:dyDescent="0.25">
      <c r="A42" s="69" t="s">
        <v>1</v>
      </c>
      <c r="B42" s="69" t="s">
        <v>126</v>
      </c>
      <c r="C42" s="90"/>
      <c r="E42" t="s">
        <v>157</v>
      </c>
      <c r="G42"/>
      <c r="J42" s="90"/>
    </row>
    <row r="43" spans="1:10" ht="12.75" customHeight="1" x14ac:dyDescent="0.25">
      <c r="A43" s="78" t="s">
        <v>2</v>
      </c>
      <c r="B43" s="78" t="s">
        <v>10</v>
      </c>
      <c r="C43" s="90"/>
      <c r="E43" s="160" t="s">
        <v>226</v>
      </c>
      <c r="F43" s="160" t="s">
        <v>227</v>
      </c>
      <c r="G43" s="90"/>
      <c r="H43" s="90"/>
      <c r="J43" s="160" t="s">
        <v>223</v>
      </c>
    </row>
    <row r="44" spans="1:10" ht="12.75" customHeight="1" x14ac:dyDescent="0.25">
      <c r="A44" t="s">
        <v>5</v>
      </c>
      <c r="B44" s="98">
        <v>95</v>
      </c>
      <c r="C44" s="90"/>
      <c r="E44" t="s">
        <v>158</v>
      </c>
      <c r="F44" s="160" t="s">
        <v>225</v>
      </c>
      <c r="J44" s="90"/>
    </row>
    <row r="45" spans="1:10" ht="12.75" customHeight="1" x14ac:dyDescent="0.25">
      <c r="A45" t="s">
        <v>6</v>
      </c>
      <c r="B45" s="98">
        <v>90</v>
      </c>
      <c r="C45" s="90"/>
      <c r="E45" t="s">
        <v>158</v>
      </c>
      <c r="F45" t="s">
        <v>128</v>
      </c>
      <c r="G45" s="90"/>
      <c r="H45" s="90"/>
      <c r="J45" s="90"/>
    </row>
    <row r="46" spans="1:10" ht="12.75" customHeight="1" x14ac:dyDescent="0.25">
      <c r="A46" t="s">
        <v>7</v>
      </c>
      <c r="B46" s="69" t="s">
        <v>127</v>
      </c>
      <c r="C46" s="90"/>
      <c r="E46" t="s">
        <v>159</v>
      </c>
      <c r="F46" t="s">
        <v>155</v>
      </c>
      <c r="J46" s="90"/>
    </row>
    <row r="47" spans="1:10" ht="12.75" customHeight="1" x14ac:dyDescent="0.25">
      <c r="A47" s="139" t="s">
        <v>8</v>
      </c>
      <c r="B47" s="69" t="s">
        <v>119</v>
      </c>
      <c r="C47" s="90"/>
      <c r="E47" s="109" t="s">
        <v>129</v>
      </c>
      <c r="F47" s="90"/>
      <c r="G47" t="s">
        <v>130</v>
      </c>
      <c r="H47" s="90"/>
      <c r="J47" s="90"/>
    </row>
    <row r="48" spans="1:10" ht="12.75" customHeight="1" x14ac:dyDescent="0.25">
      <c r="J48" s="90"/>
    </row>
    <row r="49" spans="1:10" ht="12.75" customHeight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2.75" customHeight="1" x14ac:dyDescent="0.25">
      <c r="A50" s="105" t="s">
        <v>146</v>
      </c>
      <c r="B50" s="90"/>
      <c r="C50" s="90"/>
      <c r="D50" s="90"/>
      <c r="E50" s="90"/>
      <c r="F50" s="90"/>
      <c r="G50" s="90"/>
      <c r="H50" s="90"/>
      <c r="I50" s="90"/>
      <c r="J50" s="90"/>
    </row>
    <row r="51" spans="1:10" ht="12.75" customHeight="1" x14ac:dyDescent="0.25">
      <c r="A51" s="90"/>
      <c r="B51" s="90"/>
      <c r="C51" s="90"/>
      <c r="D51" s="90"/>
      <c r="I51" s="90"/>
      <c r="J51" s="90"/>
    </row>
    <row r="52" spans="1:10" ht="12.75" customHeight="1" x14ac:dyDescent="0.25">
      <c r="A52" t="s">
        <v>114</v>
      </c>
      <c r="B52" s="90"/>
      <c r="C52" s="123">
        <f>'T-storm CN'!C24</f>
        <v>6.3575000000000007E-2</v>
      </c>
      <c r="D52" t="s">
        <v>64</v>
      </c>
      <c r="F52" s="78" t="s">
        <v>149</v>
      </c>
      <c r="G52" s="124" t="s">
        <v>150</v>
      </c>
      <c r="H52" s="90"/>
      <c r="I52" s="136" t="s">
        <v>160</v>
      </c>
      <c r="J52" s="90"/>
    </row>
    <row r="53" spans="1:10" ht="12.75" customHeight="1" x14ac:dyDescent="0.25">
      <c r="A53" s="90"/>
      <c r="B53" s="85" t="s">
        <v>147</v>
      </c>
      <c r="C53" s="122">
        <f>'T-storm CN'!K33</f>
        <v>3.0959689726550721E-5</v>
      </c>
      <c r="D53" s="108" t="s">
        <v>41</v>
      </c>
      <c r="E53" s="90"/>
      <c r="F53" s="69" t="s">
        <v>122</v>
      </c>
      <c r="G53" s="99">
        <f>'T-storm CN'!J133</f>
        <v>62.961749999999959</v>
      </c>
      <c r="H53" s="138" t="s">
        <v>72</v>
      </c>
      <c r="I53" s="100">
        <f>'T-storm CN'!I96</f>
        <v>0.81096000000000001</v>
      </c>
      <c r="J53" s="2" t="s">
        <v>64</v>
      </c>
    </row>
    <row r="54" spans="1:10" ht="12.75" customHeight="1" x14ac:dyDescent="0.25">
      <c r="A54" t="s">
        <v>148</v>
      </c>
      <c r="B54" s="90"/>
      <c r="C54" s="101">
        <f>'T-storm CN'!U30</f>
        <v>98.703612575185844</v>
      </c>
      <c r="E54" s="90"/>
      <c r="F54" s="69" t="s">
        <v>123</v>
      </c>
      <c r="G54" s="99">
        <f>'T-storm CN'!W100</f>
        <v>82.681489583333331</v>
      </c>
      <c r="H54" s="138" t="s">
        <v>72</v>
      </c>
      <c r="I54" s="100">
        <f>'T-storm CN'!V66</f>
        <v>2.3933760000000004</v>
      </c>
      <c r="J54" s="2" t="s">
        <v>64</v>
      </c>
    </row>
    <row r="55" spans="1:10" ht="12.75" customHeight="1" x14ac:dyDescent="0.25">
      <c r="A55" s="90"/>
      <c r="B55" s="85" t="s">
        <v>147</v>
      </c>
      <c r="C55" s="122">
        <f>'T-storm CN'!X38</f>
        <v>-1.7743260407598882E-6</v>
      </c>
      <c r="D55" s="108" t="s">
        <v>41</v>
      </c>
      <c r="E55" s="90"/>
      <c r="F55" s="90"/>
      <c r="G55" s="90"/>
      <c r="H55" s="90"/>
      <c r="I55" s="90"/>
    </row>
    <row r="60" spans="1:10" ht="12.75" customHeight="1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</row>
    <row r="61" spans="1:10" ht="12.75" customHeight="1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</row>
    <row r="62" spans="1:10" ht="12.75" customHeight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</row>
    <row r="63" spans="1:10" ht="12.75" customHeight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</row>
    <row r="64" spans="1:10" ht="12.75" customHeight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</row>
    <row r="65" spans="1:10" ht="12.75" customHeight="1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spans="1:10" ht="12.75" customHeight="1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spans="1:10" ht="12.75" customHeight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10" ht="12.75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ht="12.7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ht="12.7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ht="12.7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</row>
    <row r="72" spans="1:10" ht="12.7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</row>
    <row r="73" spans="1:10" ht="12.75" customHeight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</row>
    <row r="74" spans="1:10" ht="12.75" customHeight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</row>
    <row r="75" spans="1:10" ht="12.75" customHeight="1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2.75" customHeight="1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</row>
    <row r="77" spans="1:10" ht="12.75" customHeight="1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2.75" customHeight="1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</row>
    <row r="79" spans="1:10" ht="12.75" customHeight="1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</row>
    <row r="80" spans="1:10" ht="12.75" customHeight="1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</row>
    <row r="81" spans="1:10" ht="12.7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</row>
    <row r="82" spans="1:10" ht="12.75" customHeight="1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</row>
    <row r="83" spans="1:10" ht="12.75" customHeight="1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</row>
    <row r="84" spans="1:10" ht="12.7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</row>
    <row r="85" spans="1:10" ht="12.75" customHeight="1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</row>
    <row r="86" spans="1:10" ht="12.7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</row>
    <row r="87" spans="1:10" ht="12.75" customHeight="1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</row>
    <row r="88" spans="1:10" ht="12.75" customHeight="1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</row>
    <row r="89" spans="1:10" ht="12.7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</row>
    <row r="90" spans="1:10" ht="12.75" customHeight="1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</row>
    <row r="91" spans="1:10" ht="12.75" customHeight="1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</row>
    <row r="92" spans="1:10" ht="12.7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</row>
    <row r="93" spans="1:10" ht="12.75" customHeight="1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</row>
    <row r="94" spans="1:10" ht="12.75" customHeight="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</row>
    <row r="95" spans="1:10" ht="12.75" customHeight="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</row>
    <row r="96" spans="1:10" ht="12.75" customHeight="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view="pageBreakPreview" zoomScale="85" zoomScaleNormal="100" zoomScaleSheetLayoutView="85" workbookViewId="0">
      <selection activeCell="A2" sqref="A2"/>
    </sheetView>
  </sheetViews>
  <sheetFormatPr defaultColWidth="9.28515625" defaultRowHeight="12.75" customHeight="1" x14ac:dyDescent="0.25"/>
  <sheetData>
    <row r="1" spans="1:26" ht="12.75" customHeight="1" x14ac:dyDescent="0.25">
      <c r="A1" s="8" t="str">
        <f>'Fire calcs'!A1</f>
        <v>[Dam name (owner); Dam Safety file no. ___ ]</v>
      </c>
      <c r="B1" s="10"/>
      <c r="C1" s="10"/>
      <c r="D1" s="10"/>
      <c r="E1" s="10"/>
      <c r="F1" s="10"/>
      <c r="G1" s="10"/>
      <c r="N1" s="8" t="str">
        <f>$A$1</f>
        <v>[Dam name (owner); Dam Safety file no. ___ ]</v>
      </c>
      <c r="O1" s="10"/>
      <c r="P1" s="10"/>
      <c r="Q1" s="10"/>
      <c r="R1" s="10"/>
      <c r="S1" s="10"/>
      <c r="T1" s="10"/>
      <c r="U1" s="10"/>
    </row>
    <row r="2" spans="1:26" ht="12.75" customHeight="1" x14ac:dyDescent="0.25">
      <c r="A2" s="10"/>
      <c r="B2" s="10"/>
      <c r="C2" s="10"/>
      <c r="D2" s="10"/>
      <c r="E2" s="10"/>
      <c r="F2" s="10"/>
      <c r="G2" s="10"/>
      <c r="N2" s="10"/>
      <c r="O2" s="10"/>
      <c r="P2" s="10"/>
      <c r="Q2" s="10"/>
      <c r="R2" s="10"/>
      <c r="S2" s="10"/>
      <c r="T2" s="10"/>
      <c r="U2" s="10"/>
    </row>
    <row r="3" spans="1:26" ht="12.75" customHeight="1" x14ac:dyDescent="0.25">
      <c r="A3" s="8" t="s">
        <v>96</v>
      </c>
      <c r="B3" s="10"/>
      <c r="C3" s="10"/>
      <c r="D3" s="10"/>
      <c r="E3" s="10"/>
      <c r="F3" s="10"/>
      <c r="G3" s="8" t="str">
        <f>'Fire calcs'!E3</f>
        <v>_____________ watershed</v>
      </c>
      <c r="L3" s="12" t="s">
        <v>164</v>
      </c>
      <c r="M3" s="13">
        <v>1</v>
      </c>
      <c r="N3" s="8" t="str">
        <f>$A$3</f>
        <v xml:space="preserve">Calculate post-fire infiltration rate and CN's for sub-basins in </v>
      </c>
      <c r="O3" s="10"/>
      <c r="P3" s="10"/>
      <c r="Q3" s="10"/>
      <c r="R3" s="10"/>
      <c r="S3" s="10"/>
      <c r="T3" s="8" t="str">
        <f>$G$3</f>
        <v>_____________ watershed</v>
      </c>
      <c r="U3" s="10"/>
      <c r="Y3" s="12" t="s">
        <v>164</v>
      </c>
      <c r="Z3" s="13">
        <f>M124+1</f>
        <v>5</v>
      </c>
    </row>
    <row r="4" spans="1:26" ht="12.75" customHeight="1" x14ac:dyDescent="0.25">
      <c r="A4" s="10"/>
      <c r="B4" s="11" t="str">
        <f>'Fire calcs'!B4</f>
        <v>[name], mo/da/yr</v>
      </c>
      <c r="C4" s="10"/>
      <c r="D4" s="10"/>
      <c r="E4" s="10"/>
      <c r="F4" s="10"/>
      <c r="G4" s="10"/>
      <c r="L4" s="143" t="s">
        <v>165</v>
      </c>
      <c r="M4" s="144">
        <v>7</v>
      </c>
      <c r="N4" s="10"/>
      <c r="O4" s="11" t="str">
        <f>$B$4</f>
        <v>[name], mo/da/yr</v>
      </c>
      <c r="P4" s="10"/>
      <c r="Q4" s="10"/>
      <c r="R4" s="10"/>
      <c r="S4" s="10"/>
      <c r="T4" s="10"/>
      <c r="U4" s="10"/>
      <c r="Y4" s="143" t="s">
        <v>165</v>
      </c>
      <c r="Z4" s="144">
        <f>$M$4</f>
        <v>7</v>
      </c>
    </row>
    <row r="5" spans="1:26" ht="12.75" customHeight="1" x14ac:dyDescent="0.25">
      <c r="N5" s="10"/>
    </row>
    <row r="6" spans="1:26" s="2" customFormat="1" ht="12.75" customHeight="1" x14ac:dyDescent="0.2">
      <c r="B6" s="37"/>
      <c r="C6" s="37"/>
      <c r="D6" s="37"/>
      <c r="E6" s="37"/>
      <c r="F6" s="37"/>
      <c r="G6" s="37"/>
    </row>
    <row r="7" spans="1:26" s="2" customFormat="1" ht="12.75" customHeight="1" x14ac:dyDescent="0.2">
      <c r="A7" s="61" t="s">
        <v>98</v>
      </c>
      <c r="B7" s="61"/>
      <c r="C7" s="61"/>
      <c r="D7" s="37"/>
      <c r="E7" s="37"/>
      <c r="F7" s="37"/>
      <c r="G7" s="37"/>
      <c r="N7" s="61" t="s">
        <v>98</v>
      </c>
      <c r="O7" s="61"/>
      <c r="P7" s="61"/>
    </row>
    <row r="8" spans="1:26" s="2" customFormat="1" ht="12.75" customHeight="1" x14ac:dyDescent="0.2">
      <c r="B8" s="37"/>
      <c r="C8" s="37"/>
      <c r="D8" s="37"/>
      <c r="E8" s="37"/>
      <c r="F8" s="37"/>
      <c r="G8" s="37"/>
    </row>
    <row r="9" spans="1:26" s="2" customFormat="1" ht="12.75" customHeight="1" x14ac:dyDescent="0.2">
      <c r="A9" s="2" t="s">
        <v>14</v>
      </c>
      <c r="C9" s="37"/>
      <c r="D9" s="37"/>
      <c r="E9" s="37"/>
      <c r="F9" s="37"/>
      <c r="G9" s="37"/>
      <c r="H9" s="37"/>
      <c r="N9" s="2" t="s">
        <v>14</v>
      </c>
      <c r="Q9" s="37"/>
      <c r="R9" s="37"/>
      <c r="S9" s="37"/>
      <c r="T9" s="37"/>
      <c r="U9" s="37"/>
    </row>
    <row r="10" spans="1:26" s="2" customFormat="1" ht="12.75" customHeight="1" x14ac:dyDescent="0.2">
      <c r="B10" s="60" t="s">
        <v>213</v>
      </c>
      <c r="O10" s="60" t="s">
        <v>99</v>
      </c>
      <c r="P10" s="37"/>
    </row>
    <row r="11" spans="1:26" s="2" customFormat="1" ht="12.75" customHeight="1" x14ac:dyDescent="0.2">
      <c r="B11" s="2" t="s">
        <v>97</v>
      </c>
      <c r="O11" s="2" t="s">
        <v>97</v>
      </c>
    </row>
    <row r="12" spans="1:26" s="2" customFormat="1" ht="12.75" customHeight="1" x14ac:dyDescent="0.2">
      <c r="C12" s="15" t="s">
        <v>15</v>
      </c>
      <c r="P12" s="15" t="s">
        <v>15</v>
      </c>
    </row>
    <row r="13" spans="1:26" s="2" customFormat="1" ht="12.75" customHeight="1" x14ac:dyDescent="0.2">
      <c r="C13" s="2" t="s">
        <v>16</v>
      </c>
      <c r="P13" s="2" t="s">
        <v>16</v>
      </c>
    </row>
    <row r="14" spans="1:26" s="2" customFormat="1" ht="12.75" customHeight="1" x14ac:dyDescent="0.2">
      <c r="C14" s="2" t="s">
        <v>17</v>
      </c>
      <c r="P14" s="2" t="s">
        <v>17</v>
      </c>
    </row>
    <row r="15" spans="1:26" s="2" customFormat="1" ht="12.75" customHeight="1" x14ac:dyDescent="0.2"/>
    <row r="16" spans="1:26" s="2" customFormat="1" ht="12.75" customHeight="1" x14ac:dyDescent="0.2"/>
    <row r="17" spans="1:26" s="2" customFormat="1" ht="12.75" customHeight="1" x14ac:dyDescent="0.2">
      <c r="A17" s="2" t="s">
        <v>18</v>
      </c>
      <c r="C17" s="37" t="s">
        <v>19</v>
      </c>
      <c r="N17" s="2" t="s">
        <v>18</v>
      </c>
      <c r="P17" s="14" t="s">
        <v>87</v>
      </c>
    </row>
    <row r="18" spans="1:26" s="2" customFormat="1" ht="12.75" customHeight="1" x14ac:dyDescent="0.2">
      <c r="A18" s="16" t="s">
        <v>20</v>
      </c>
      <c r="C18" s="17">
        <f>'Fire calcs'!D19</f>
        <v>14</v>
      </c>
      <c r="G18" s="4" t="s">
        <v>21</v>
      </c>
      <c r="H18" s="18">
        <v>15</v>
      </c>
      <c r="I18" s="2" t="s">
        <v>22</v>
      </c>
      <c r="J18" s="33">
        <f>H18/60</f>
        <v>0.25</v>
      </c>
      <c r="K18" s="2" t="s">
        <v>23</v>
      </c>
      <c r="N18" s="16" t="s">
        <v>20</v>
      </c>
      <c r="P18" s="17">
        <f>'Fire calcs'!D19</f>
        <v>14</v>
      </c>
      <c r="T18" s="4" t="s">
        <v>21</v>
      </c>
      <c r="U18" s="18">
        <v>5</v>
      </c>
      <c r="V18" s="2" t="s">
        <v>22</v>
      </c>
      <c r="W18" s="33">
        <f>U18/60</f>
        <v>8.3333333333333329E-2</v>
      </c>
      <c r="X18" s="2" t="s">
        <v>23</v>
      </c>
    </row>
    <row r="19" spans="1:26" s="2" customFormat="1" ht="12.75" customHeight="1" x14ac:dyDescent="0.2">
      <c r="A19" s="16" t="s">
        <v>24</v>
      </c>
      <c r="C19" s="17">
        <f>'Fire calcs'!D20</f>
        <v>11</v>
      </c>
      <c r="G19" s="4" t="s">
        <v>25</v>
      </c>
      <c r="H19" s="102">
        <f>'Fire calcs'!C17</f>
        <v>3</v>
      </c>
      <c r="I19" s="2" t="s">
        <v>26</v>
      </c>
      <c r="J19" s="6">
        <f>(H19/D31)*100</f>
        <v>250</v>
      </c>
      <c r="K19" s="2" t="s">
        <v>27</v>
      </c>
      <c r="N19" s="16" t="s">
        <v>24</v>
      </c>
      <c r="P19" s="17">
        <f>'Fire calcs'!D21</f>
        <v>6</v>
      </c>
      <c r="T19" s="4" t="s">
        <v>25</v>
      </c>
      <c r="U19" s="102">
        <f>'Fire calcs'!C18</f>
        <v>0.8</v>
      </c>
      <c r="V19" s="2" t="s">
        <v>26</v>
      </c>
      <c r="W19" s="6">
        <f>(U19/Q32)*100</f>
        <v>66.666666666666671</v>
      </c>
      <c r="X19" s="2" t="s">
        <v>27</v>
      </c>
    </row>
    <row r="20" spans="1:26" s="2" customFormat="1" ht="12.75" customHeight="1" x14ac:dyDescent="0.2">
      <c r="A20" s="16" t="s">
        <v>28</v>
      </c>
      <c r="C20" s="56" t="s">
        <v>29</v>
      </c>
      <c r="N20" s="16" t="s">
        <v>28</v>
      </c>
      <c r="P20" s="17" t="str">
        <f>C20</f>
        <v>25 yr</v>
      </c>
    </row>
    <row r="21" spans="1:26" s="2" customFormat="1" ht="12.75" customHeight="1" x14ac:dyDescent="0.2"/>
    <row r="22" spans="1:26" s="2" customFormat="1" ht="12.75" customHeight="1" x14ac:dyDescent="0.2"/>
    <row r="23" spans="1:26" s="2" customFormat="1" ht="12.75" customHeight="1" thickBot="1" x14ac:dyDescent="0.25">
      <c r="A23" s="2" t="s">
        <v>30</v>
      </c>
      <c r="N23" s="2" t="s">
        <v>30</v>
      </c>
    </row>
    <row r="24" spans="1:26" s="2" customFormat="1" ht="12.75" customHeight="1" thickBot="1" x14ac:dyDescent="0.25">
      <c r="B24" s="4" t="s">
        <v>31</v>
      </c>
      <c r="C24" s="53">
        <v>6.3575000000000007E-2</v>
      </c>
      <c r="D24" s="2" t="s">
        <v>32</v>
      </c>
      <c r="E24" s="4" t="s">
        <v>33</v>
      </c>
      <c r="F24" s="19">
        <f>C24</f>
        <v>6.3575000000000007E-2</v>
      </c>
      <c r="G24" s="2" t="s">
        <v>34</v>
      </c>
      <c r="O24" s="4" t="s">
        <v>31</v>
      </c>
      <c r="P24" s="19">
        <f>C24</f>
        <v>6.3575000000000007E-2</v>
      </c>
      <c r="Q24" s="2" t="s">
        <v>32</v>
      </c>
      <c r="R24" s="4" t="s">
        <v>33</v>
      </c>
      <c r="S24" s="19">
        <f>P24</f>
        <v>6.3575000000000007E-2</v>
      </c>
      <c r="T24" s="2" t="s">
        <v>34</v>
      </c>
    </row>
    <row r="25" spans="1:26" s="2" customFormat="1" ht="12.75" customHeight="1" x14ac:dyDescent="0.2">
      <c r="B25" s="4"/>
      <c r="C25" s="34">
        <f>C24*J18</f>
        <v>1.5893750000000002E-2</v>
      </c>
      <c r="D25" s="2" t="s">
        <v>35</v>
      </c>
      <c r="F25" s="34">
        <f>F24*J18</f>
        <v>1.5893750000000002E-2</v>
      </c>
      <c r="G25" s="2" t="s">
        <v>35</v>
      </c>
      <c r="O25" s="4"/>
      <c r="P25" s="54">
        <f>P24*W18</f>
        <v>5.2979166666666669E-3</v>
      </c>
      <c r="Q25" s="2" t="s">
        <v>35</v>
      </c>
      <c r="S25" s="34">
        <f>S24*W18</f>
        <v>5.2979166666666669E-3</v>
      </c>
      <c r="T25" s="2" t="s">
        <v>35</v>
      </c>
    </row>
    <row r="26" spans="1:26" s="2" customFormat="1" ht="12.75" customHeight="1" x14ac:dyDescent="0.2">
      <c r="C26" s="1"/>
      <c r="P26" s="19"/>
      <c r="Y26" s="38" t="str">
        <f>IF((U19&gt;Y27)," ","NG")</f>
        <v xml:space="preserve"> </v>
      </c>
    </row>
    <row r="27" spans="1:26" s="2" customFormat="1" ht="12.75" customHeight="1" x14ac:dyDescent="0.2">
      <c r="A27" s="2" t="s">
        <v>36</v>
      </c>
      <c r="C27" s="161">
        <f>C24</f>
        <v>6.3575000000000007E-2</v>
      </c>
      <c r="D27" s="37" t="s">
        <v>32</v>
      </c>
      <c r="E27" s="37"/>
      <c r="F27" s="37"/>
      <c r="G27" s="2" t="s">
        <v>37</v>
      </c>
      <c r="L27" s="38" t="str">
        <f>IF((H19&gt;L28)," ","NG")</f>
        <v xml:space="preserve"> </v>
      </c>
      <c r="N27" s="2" t="s">
        <v>36</v>
      </c>
      <c r="P27" s="161">
        <f>P24</f>
        <v>6.3575000000000007E-2</v>
      </c>
      <c r="Q27" s="2" t="s">
        <v>32</v>
      </c>
      <c r="T27" s="2" t="s">
        <v>37</v>
      </c>
      <c r="X27" s="20" t="s">
        <v>40</v>
      </c>
      <c r="Y27" s="21">
        <f>0.2*W28</f>
        <v>0.25053360100453725</v>
      </c>
      <c r="Z27" s="22" t="s">
        <v>41</v>
      </c>
    </row>
    <row r="28" spans="1:26" s="2" customFormat="1" ht="12.75" customHeight="1" x14ac:dyDescent="0.2">
      <c r="A28" s="52" t="s">
        <v>95</v>
      </c>
      <c r="C28" s="162">
        <f>C27*J18</f>
        <v>1.5893750000000002E-2</v>
      </c>
      <c r="D28" s="37" t="s">
        <v>35</v>
      </c>
      <c r="E28" s="37"/>
      <c r="F28" s="37"/>
      <c r="G28" s="4" t="s">
        <v>38</v>
      </c>
      <c r="H28" s="55">
        <f>'Fire calcs'!H11</f>
        <v>88.867813353566007</v>
      </c>
      <c r="I28" s="4" t="s">
        <v>39</v>
      </c>
      <c r="J28" s="39">
        <f>(1000/H28)-10</f>
        <v>1.2526680050226862</v>
      </c>
      <c r="K28" s="20" t="s">
        <v>40</v>
      </c>
      <c r="L28" s="21">
        <f>0.2*J28</f>
        <v>0.25053360100453725</v>
      </c>
      <c r="M28" s="22" t="s">
        <v>41</v>
      </c>
      <c r="N28" s="52" t="s">
        <v>95</v>
      </c>
      <c r="P28" s="162">
        <f>P27*W18</f>
        <v>5.2979166666666669E-3</v>
      </c>
      <c r="Q28" s="2" t="s">
        <v>35</v>
      </c>
      <c r="T28" s="4" t="s">
        <v>38</v>
      </c>
      <c r="U28" s="57">
        <f>H28</f>
        <v>88.867813353566007</v>
      </c>
      <c r="V28" s="4" t="s">
        <v>39</v>
      </c>
      <c r="W28" s="39">
        <f>(1000/U28)-10</f>
        <v>1.2526680050226862</v>
      </c>
      <c r="X28" s="15" t="s">
        <v>88</v>
      </c>
    </row>
    <row r="29" spans="1:26" s="2" customFormat="1" ht="12.75" customHeight="1" thickBot="1" x14ac:dyDescent="0.25">
      <c r="C29" s="37"/>
      <c r="D29" s="37"/>
      <c r="E29" s="37"/>
      <c r="F29" s="37"/>
      <c r="I29" s="23" t="s">
        <v>42</v>
      </c>
      <c r="J29" s="40">
        <f>((MAX((H19-(0.2*J28)),0))^2)/(H19+(0.8*J28))</f>
        <v>1.8888834596897253</v>
      </c>
      <c r="K29" s="35" t="s">
        <v>43</v>
      </c>
      <c r="V29" s="23" t="s">
        <v>42</v>
      </c>
      <c r="W29" s="41">
        <f>((MAX((U19-(0.2*W28)),0))^2)/(U19+(0.8*W28))</f>
        <v>0.16753096936159517</v>
      </c>
      <c r="X29" s="2" t="s">
        <v>43</v>
      </c>
    </row>
    <row r="30" spans="1:26" s="2" customFormat="1" ht="12.75" customHeight="1" thickBot="1" x14ac:dyDescent="0.25">
      <c r="C30" s="52" t="s">
        <v>95</v>
      </c>
      <c r="D30" s="37"/>
      <c r="E30" s="37"/>
      <c r="F30" s="37"/>
      <c r="J30" s="35"/>
      <c r="K30" s="35"/>
      <c r="T30" s="30" t="s">
        <v>38</v>
      </c>
      <c r="U30" s="103">
        <f>(X36)+0.339</f>
        <v>98.703612575185844</v>
      </c>
      <c r="V30" s="42" t="s">
        <v>39</v>
      </c>
      <c r="W30" s="39">
        <f>(1000/U30)-10</f>
        <v>0.13134143634577278</v>
      </c>
      <c r="X30" s="15" t="s">
        <v>89</v>
      </c>
    </row>
    <row r="31" spans="1:26" s="2" customFormat="1" ht="12.75" customHeight="1" x14ac:dyDescent="0.2">
      <c r="A31" s="5" t="s">
        <v>44</v>
      </c>
      <c r="B31" s="4"/>
      <c r="C31" s="40"/>
      <c r="D31" s="163">
        <v>1.2</v>
      </c>
      <c r="E31" s="50" t="s">
        <v>45</v>
      </c>
      <c r="F31" s="37"/>
      <c r="G31" s="37"/>
      <c r="H31" s="37"/>
      <c r="I31" s="37"/>
      <c r="J31" s="36" t="s">
        <v>46</v>
      </c>
      <c r="K31" s="35">
        <f>H133</f>
        <v>1.8888524999999987</v>
      </c>
      <c r="L31" s="2" t="s">
        <v>41</v>
      </c>
      <c r="O31" s="52" t="s">
        <v>95</v>
      </c>
      <c r="T31" s="37"/>
      <c r="U31" s="37"/>
      <c r="V31" s="30" t="s">
        <v>42</v>
      </c>
      <c r="W31" s="35">
        <f>((U19-(0.2*W30))^2)/(U19+(0.8*W30))</f>
        <v>0.66145014234062582</v>
      </c>
      <c r="X31" s="35" t="s">
        <v>43</v>
      </c>
    </row>
    <row r="32" spans="1:26" s="2" customFormat="1" ht="12.75" customHeight="1" x14ac:dyDescent="0.2">
      <c r="C32" s="37"/>
      <c r="D32" s="51" t="s">
        <v>47</v>
      </c>
      <c r="E32" s="164">
        <v>12</v>
      </c>
      <c r="F32" s="37" t="s">
        <v>41</v>
      </c>
      <c r="J32" s="43"/>
      <c r="K32" s="43"/>
      <c r="N32" s="5" t="s">
        <v>44</v>
      </c>
      <c r="O32" s="4"/>
      <c r="P32" s="40"/>
      <c r="Q32" s="163">
        <f>D31</f>
        <v>1.2</v>
      </c>
      <c r="R32" s="50" t="s">
        <v>45</v>
      </c>
      <c r="T32" s="37"/>
      <c r="U32" s="37"/>
      <c r="V32" s="37"/>
      <c r="W32" s="35"/>
      <c r="X32" s="35"/>
    </row>
    <row r="33" spans="1:26" s="2" customFormat="1" ht="12.75" customHeight="1" x14ac:dyDescent="0.2">
      <c r="A33" s="5" t="s">
        <v>48</v>
      </c>
      <c r="C33" s="37"/>
      <c r="D33" s="163">
        <f>D31*(E34/E32)</f>
        <v>0</v>
      </c>
      <c r="E33" s="50" t="s">
        <v>45</v>
      </c>
      <c r="F33" s="37"/>
      <c r="G33" s="37"/>
      <c r="H33" s="37"/>
      <c r="J33" s="59" t="s">
        <v>49</v>
      </c>
      <c r="K33" s="130">
        <f>J29-K31</f>
        <v>3.0959689726550721E-5</v>
      </c>
      <c r="L33" s="22" t="s">
        <v>41</v>
      </c>
      <c r="Q33" s="51" t="s">
        <v>47</v>
      </c>
      <c r="R33" s="164">
        <f>E32</f>
        <v>12</v>
      </c>
      <c r="S33" s="2" t="s">
        <v>41</v>
      </c>
      <c r="T33" s="37"/>
      <c r="U33" s="37"/>
      <c r="V33" s="37"/>
      <c r="W33" s="36" t="s">
        <v>46</v>
      </c>
      <c r="X33" s="35">
        <f>U100</f>
        <v>0.66145191666666658</v>
      </c>
      <c r="Y33" s="2" t="s">
        <v>41</v>
      </c>
    </row>
    <row r="34" spans="1:26" s="2" customFormat="1" ht="12.75" customHeight="1" x14ac:dyDescent="0.2">
      <c r="C34" s="37"/>
      <c r="D34" s="51" t="s">
        <v>50</v>
      </c>
      <c r="E34" s="164">
        <v>0</v>
      </c>
      <c r="F34" s="37" t="s">
        <v>41</v>
      </c>
      <c r="G34" s="37"/>
      <c r="H34" s="37"/>
      <c r="N34" s="5" t="s">
        <v>48</v>
      </c>
      <c r="Q34" s="163">
        <f>Q32*(R35/R33)</f>
        <v>0</v>
      </c>
      <c r="R34" s="50" t="s">
        <v>45</v>
      </c>
      <c r="T34" s="37"/>
      <c r="U34" s="37"/>
      <c r="V34" s="31" t="s">
        <v>90</v>
      </c>
    </row>
    <row r="35" spans="1:26" s="2" customFormat="1" ht="12.75" customHeight="1" x14ac:dyDescent="0.2">
      <c r="C35" s="42" t="s">
        <v>51</v>
      </c>
      <c r="D35" s="163">
        <f>D33*(1-(E38/100))</f>
        <v>0</v>
      </c>
      <c r="E35" s="50" t="s">
        <v>52</v>
      </c>
      <c r="F35" s="37"/>
      <c r="Q35" s="51" t="s">
        <v>50</v>
      </c>
      <c r="R35" s="164">
        <f>E34</f>
        <v>0</v>
      </c>
      <c r="S35" s="2" t="s">
        <v>41</v>
      </c>
      <c r="T35" s="37"/>
      <c r="U35" s="37"/>
      <c r="V35" s="37"/>
      <c r="W35" s="4" t="s">
        <v>91</v>
      </c>
      <c r="X35" s="7">
        <f>(U19-X33)*1.2</f>
        <v>0.16625770000000015</v>
      </c>
      <c r="Y35" s="2" t="s">
        <v>41</v>
      </c>
    </row>
    <row r="36" spans="1:26" s="2" customFormat="1" ht="12.75" customHeight="1" x14ac:dyDescent="0.2">
      <c r="B36" s="4"/>
      <c r="C36" s="40"/>
      <c r="D36" s="50"/>
      <c r="E36" s="50"/>
      <c r="F36" s="37"/>
      <c r="J36" s="145" t="s">
        <v>166</v>
      </c>
      <c r="K36" s="146"/>
      <c r="L36" s="147" t="s">
        <v>167</v>
      </c>
      <c r="P36" s="4" t="s">
        <v>51</v>
      </c>
      <c r="Q36" s="163">
        <f>Q34*(1-(R39/100))</f>
        <v>0</v>
      </c>
      <c r="R36" s="50" t="s">
        <v>52</v>
      </c>
      <c r="W36" s="42" t="s">
        <v>92</v>
      </c>
      <c r="X36" s="45">
        <f>1000/((X35)+10)</f>
        <v>98.364612575185845</v>
      </c>
      <c r="Y36" s="37"/>
    </row>
    <row r="37" spans="1:26" s="2" customFormat="1" ht="12.75" customHeight="1" x14ac:dyDescent="0.2">
      <c r="C37" s="37"/>
      <c r="D37" s="50"/>
      <c r="E37" s="50"/>
      <c r="F37" s="37"/>
      <c r="J37" s="4"/>
      <c r="K37" s="148" t="s">
        <v>119</v>
      </c>
      <c r="L37" s="149" t="s">
        <v>168</v>
      </c>
      <c r="O37" s="4"/>
      <c r="P37" s="35"/>
      <c r="Q37" s="50"/>
      <c r="R37" s="50"/>
      <c r="W37" s="4"/>
      <c r="X37" s="7"/>
    </row>
    <row r="38" spans="1:26" s="2" customFormat="1" ht="12.75" customHeight="1" x14ac:dyDescent="0.2">
      <c r="A38" s="2" t="s">
        <v>53</v>
      </c>
      <c r="B38" s="4"/>
      <c r="C38" s="40"/>
      <c r="D38" s="50"/>
      <c r="E38" s="165">
        <v>0</v>
      </c>
      <c r="F38" s="2" t="s">
        <v>54</v>
      </c>
      <c r="J38" s="4"/>
      <c r="K38" s="150">
        <v>60</v>
      </c>
      <c r="L38" s="147">
        <v>0.25</v>
      </c>
      <c r="Q38" s="50"/>
      <c r="R38" s="50"/>
      <c r="W38" s="59" t="s">
        <v>49</v>
      </c>
      <c r="X38" s="130">
        <f>W31-X33</f>
        <v>-1.7743260407598882E-6</v>
      </c>
      <c r="Y38" s="22" t="s">
        <v>41</v>
      </c>
    </row>
    <row r="39" spans="1:26" s="2" customFormat="1" ht="12.75" customHeight="1" x14ac:dyDescent="0.2">
      <c r="K39" s="150">
        <v>70</v>
      </c>
      <c r="L39" s="147">
        <v>0.18</v>
      </c>
      <c r="N39" s="2" t="s">
        <v>53</v>
      </c>
      <c r="O39" s="4"/>
      <c r="P39" s="35"/>
      <c r="Q39" s="50"/>
      <c r="R39" s="165">
        <f>E38</f>
        <v>0</v>
      </c>
      <c r="S39" s="2" t="s">
        <v>93</v>
      </c>
      <c r="W39" s="4"/>
      <c r="X39" s="7"/>
    </row>
    <row r="40" spans="1:26" s="2" customFormat="1" ht="12.75" customHeight="1" x14ac:dyDescent="0.2">
      <c r="B40" s="4"/>
      <c r="C40" s="40"/>
      <c r="D40" s="37"/>
      <c r="E40" s="37"/>
      <c r="F40" s="37"/>
      <c r="K40" s="150">
        <v>80</v>
      </c>
      <c r="L40" s="147">
        <v>0.11</v>
      </c>
      <c r="O40" s="4"/>
      <c r="P40" s="35"/>
    </row>
    <row r="41" spans="1:26" s="2" customFormat="1" ht="12.75" customHeight="1" x14ac:dyDescent="0.2">
      <c r="A41" s="2" t="s">
        <v>55</v>
      </c>
      <c r="N41" s="2" t="s">
        <v>55</v>
      </c>
    </row>
    <row r="42" spans="1:26" s="2" customFormat="1" ht="12.75" customHeight="1" x14ac:dyDescent="0.2">
      <c r="B42" s="23" t="s">
        <v>56</v>
      </c>
      <c r="C42" s="23" t="s">
        <v>57</v>
      </c>
      <c r="D42" s="23" t="s">
        <v>58</v>
      </c>
      <c r="E42" s="23" t="s">
        <v>59</v>
      </c>
      <c r="G42" s="2" t="str">
        <f>$A$1</f>
        <v>[Dam name (owner); Dam Safety file no. ___ ]</v>
      </c>
      <c r="O42" s="23" t="s">
        <v>56</v>
      </c>
      <c r="P42" s="23" t="s">
        <v>57</v>
      </c>
      <c r="Q42" s="23" t="s">
        <v>58</v>
      </c>
      <c r="R42" s="23" t="s">
        <v>59</v>
      </c>
      <c r="T42" s="2" t="str">
        <f>$A$1</f>
        <v>[Dam name (owner); Dam Safety file no. ___ ]</v>
      </c>
    </row>
    <row r="43" spans="1:26" s="2" customFormat="1" ht="12.75" customHeight="1" x14ac:dyDescent="0.2">
      <c r="A43" s="46" t="s">
        <v>60</v>
      </c>
      <c r="B43" s="24" t="s">
        <v>61</v>
      </c>
      <c r="C43" s="24" t="s">
        <v>61</v>
      </c>
      <c r="D43" s="24" t="s">
        <v>61</v>
      </c>
      <c r="E43" s="46" t="s">
        <v>62</v>
      </c>
      <c r="N43" s="46" t="s">
        <v>60</v>
      </c>
      <c r="O43" s="24" t="s">
        <v>61</v>
      </c>
      <c r="P43" s="24" t="s">
        <v>61</v>
      </c>
      <c r="Q43" s="24" t="s">
        <v>61</v>
      </c>
      <c r="R43" s="46" t="s">
        <v>62</v>
      </c>
    </row>
    <row r="44" spans="1:26" s="2" customFormat="1" ht="12.75" customHeight="1" x14ac:dyDescent="0.2">
      <c r="A44" s="2">
        <v>0</v>
      </c>
      <c r="B44" s="116">
        <v>0</v>
      </c>
      <c r="C44" s="47">
        <f t="shared" ref="C44:C107" si="0">B44*$H$19</f>
        <v>0</v>
      </c>
      <c r="D44" s="47">
        <f t="shared" ref="D44:D107" si="1">MIN(C44,$F$25)</f>
        <v>0</v>
      </c>
      <c r="E44" s="47">
        <f t="shared" ref="E44:E107" si="2">MIN(D44,$C$28)</f>
        <v>0</v>
      </c>
      <c r="G44" s="2" t="str">
        <f>$A$3</f>
        <v xml:space="preserve">Calculate post-fire infiltration rate and CN's for sub-basins in </v>
      </c>
      <c r="N44" s="2">
        <v>0</v>
      </c>
      <c r="O44" s="116">
        <v>0</v>
      </c>
      <c r="P44" s="47">
        <f>O44*$U$19</f>
        <v>0</v>
      </c>
      <c r="Q44" s="47">
        <f>MIN(P44,$S$25)</f>
        <v>0</v>
      </c>
      <c r="R44" s="47">
        <f>MIN(Q44,$P$28)</f>
        <v>0</v>
      </c>
      <c r="T44" s="2" t="str">
        <f>$A$3</f>
        <v xml:space="preserve">Calculate post-fire infiltration rate and CN's for sub-basins in </v>
      </c>
    </row>
    <row r="45" spans="1:26" s="2" customFormat="1" ht="12.75" customHeight="1" x14ac:dyDescent="0.2">
      <c r="A45" s="7">
        <f t="shared" ref="A45:A108" si="3">A44+$J$18</f>
        <v>0.25</v>
      </c>
      <c r="B45" s="117">
        <v>2.1199999999999999E-3</v>
      </c>
      <c r="C45" s="47">
        <f t="shared" si="0"/>
        <v>6.3599999999999993E-3</v>
      </c>
      <c r="D45" s="47">
        <f t="shared" si="1"/>
        <v>6.3599999999999993E-3</v>
      </c>
      <c r="E45" s="47">
        <f t="shared" si="2"/>
        <v>6.3599999999999993E-3</v>
      </c>
      <c r="H45" s="2" t="str">
        <f>$G$3</f>
        <v>_____________ watershed</v>
      </c>
      <c r="N45" s="7">
        <f>N44+$W$18</f>
        <v>8.3333333333333329E-2</v>
      </c>
      <c r="O45" s="117">
        <v>3.6600000000000001E-3</v>
      </c>
      <c r="P45" s="47">
        <f t="shared" ref="P45:P92" si="4">O45*$U$19</f>
        <v>2.928E-3</v>
      </c>
      <c r="Q45" s="47">
        <f t="shared" ref="Q45:Q92" si="5">MIN(P45,$S$25)</f>
        <v>2.928E-3</v>
      </c>
      <c r="R45" s="47">
        <f t="shared" ref="R45:R92" si="6">MIN(Q45,$P$28)</f>
        <v>2.928E-3</v>
      </c>
      <c r="U45" s="2" t="str">
        <f>$G$3</f>
        <v>_____________ watershed</v>
      </c>
    </row>
    <row r="46" spans="1:26" s="2" customFormat="1" ht="12.75" customHeight="1" x14ac:dyDescent="0.2">
      <c r="A46" s="7">
        <f t="shared" si="3"/>
        <v>0.5</v>
      </c>
      <c r="B46" s="117">
        <v>2.66E-3</v>
      </c>
      <c r="C46" s="47">
        <f t="shared" si="0"/>
        <v>7.980000000000001E-3</v>
      </c>
      <c r="D46" s="47">
        <f t="shared" si="1"/>
        <v>7.980000000000001E-3</v>
      </c>
      <c r="E46" s="47">
        <f t="shared" si="2"/>
        <v>7.980000000000001E-3</v>
      </c>
      <c r="G46" s="3" t="str">
        <f>$B$4</f>
        <v>[name], mo/da/yr</v>
      </c>
      <c r="L46" s="4" t="s">
        <v>164</v>
      </c>
      <c r="M46" s="48">
        <f>M3+1</f>
        <v>2</v>
      </c>
      <c r="N46" s="7">
        <f t="shared" ref="N46:N92" si="7">N45+$W$18</f>
        <v>0.16666666666666666</v>
      </c>
      <c r="O46" s="117">
        <v>8.2400000000000008E-3</v>
      </c>
      <c r="P46" s="47">
        <f t="shared" si="4"/>
        <v>6.5920000000000006E-3</v>
      </c>
      <c r="Q46" s="47">
        <f t="shared" si="5"/>
        <v>5.2979166666666669E-3</v>
      </c>
      <c r="R46" s="47">
        <f t="shared" si="6"/>
        <v>5.2979166666666669E-3</v>
      </c>
      <c r="T46" s="3" t="str">
        <f>$B$4</f>
        <v>[name], mo/da/yr</v>
      </c>
      <c r="Y46" s="4" t="s">
        <v>164</v>
      </c>
      <c r="Z46" s="48">
        <f>Z3+1</f>
        <v>6</v>
      </c>
    </row>
    <row r="47" spans="1:26" s="2" customFormat="1" ht="12.75" customHeight="1" x14ac:dyDescent="0.2">
      <c r="A47" s="7">
        <f t="shared" si="3"/>
        <v>0.75</v>
      </c>
      <c r="B47" s="117">
        <v>3.1900000000000001E-3</v>
      </c>
      <c r="C47" s="47">
        <f t="shared" si="0"/>
        <v>9.5700000000000004E-3</v>
      </c>
      <c r="D47" s="47">
        <f t="shared" si="1"/>
        <v>9.5700000000000004E-3</v>
      </c>
      <c r="E47" s="47">
        <f t="shared" si="2"/>
        <v>9.5700000000000004E-3</v>
      </c>
      <c r="L47" s="4" t="s">
        <v>165</v>
      </c>
      <c r="M47" s="48">
        <f>$M$4</f>
        <v>7</v>
      </c>
      <c r="N47" s="7">
        <f t="shared" si="7"/>
        <v>0.25</v>
      </c>
      <c r="O47" s="117">
        <v>1.099E-2</v>
      </c>
      <c r="P47" s="47">
        <f t="shared" si="4"/>
        <v>8.7919999999999995E-3</v>
      </c>
      <c r="Q47" s="47">
        <f t="shared" si="5"/>
        <v>5.2979166666666669E-3</v>
      </c>
      <c r="R47" s="47">
        <f t="shared" si="6"/>
        <v>5.2979166666666669E-3</v>
      </c>
      <c r="Y47" s="4" t="s">
        <v>165</v>
      </c>
      <c r="Z47" s="48">
        <f>$M$4</f>
        <v>7</v>
      </c>
    </row>
    <row r="48" spans="1:26" s="2" customFormat="1" ht="12.75" customHeight="1" x14ac:dyDescent="0.2">
      <c r="A48" s="7">
        <f t="shared" si="3"/>
        <v>1</v>
      </c>
      <c r="B48" s="117">
        <v>3.7200000000000002E-3</v>
      </c>
      <c r="C48" s="47">
        <f t="shared" si="0"/>
        <v>1.116E-2</v>
      </c>
      <c r="D48" s="47">
        <f t="shared" si="1"/>
        <v>1.116E-2</v>
      </c>
      <c r="E48" s="47">
        <f t="shared" si="2"/>
        <v>1.116E-2</v>
      </c>
      <c r="N48" s="7">
        <f t="shared" si="7"/>
        <v>0.33333333333333331</v>
      </c>
      <c r="O48" s="117">
        <v>1.38E-2</v>
      </c>
      <c r="P48" s="47">
        <f t="shared" si="4"/>
        <v>1.1040000000000001E-2</v>
      </c>
      <c r="Q48" s="47">
        <f t="shared" si="5"/>
        <v>5.2979166666666669E-3</v>
      </c>
      <c r="R48" s="47">
        <f t="shared" si="6"/>
        <v>5.2979166666666669E-3</v>
      </c>
    </row>
    <row r="49" spans="1:20" s="2" customFormat="1" ht="12.75" customHeight="1" x14ac:dyDescent="0.2">
      <c r="A49" s="7">
        <f t="shared" si="3"/>
        <v>1.25</v>
      </c>
      <c r="B49" s="117">
        <v>4.2500000000000003E-3</v>
      </c>
      <c r="C49" s="47">
        <f t="shared" si="0"/>
        <v>1.2750000000000001E-2</v>
      </c>
      <c r="D49" s="47">
        <f t="shared" si="1"/>
        <v>1.2750000000000001E-2</v>
      </c>
      <c r="E49" s="47">
        <f t="shared" si="2"/>
        <v>1.2750000000000001E-2</v>
      </c>
      <c r="N49" s="7">
        <f t="shared" si="7"/>
        <v>0.41666666666666663</v>
      </c>
      <c r="O49" s="117">
        <v>1.8350000000000002E-2</v>
      </c>
      <c r="P49" s="47">
        <f t="shared" si="4"/>
        <v>1.4680000000000002E-2</v>
      </c>
      <c r="Q49" s="47">
        <f t="shared" si="5"/>
        <v>5.2979166666666669E-3</v>
      </c>
      <c r="R49" s="47">
        <f t="shared" si="6"/>
        <v>5.2979166666666669E-3</v>
      </c>
    </row>
    <row r="50" spans="1:20" s="2" customFormat="1" ht="12.75" customHeight="1" x14ac:dyDescent="0.2">
      <c r="A50" s="7">
        <f t="shared" si="3"/>
        <v>1.5</v>
      </c>
      <c r="B50" s="117">
        <v>4.7800000000000004E-3</v>
      </c>
      <c r="C50" s="47">
        <f t="shared" si="0"/>
        <v>1.4340000000000002E-2</v>
      </c>
      <c r="D50" s="47">
        <f t="shared" si="1"/>
        <v>1.4340000000000002E-2</v>
      </c>
      <c r="E50" s="47">
        <f t="shared" si="2"/>
        <v>1.4340000000000002E-2</v>
      </c>
      <c r="N50" s="7">
        <f t="shared" si="7"/>
        <v>0.49999999999999994</v>
      </c>
      <c r="O50" s="117">
        <v>1.38E-2</v>
      </c>
      <c r="P50" s="47">
        <f t="shared" si="4"/>
        <v>1.1040000000000001E-2</v>
      </c>
      <c r="Q50" s="47">
        <f t="shared" si="5"/>
        <v>5.2979166666666669E-3</v>
      </c>
      <c r="R50" s="47">
        <f t="shared" si="6"/>
        <v>5.2979166666666669E-3</v>
      </c>
    </row>
    <row r="51" spans="1:20" s="2" customFormat="1" ht="12.75" customHeight="1" x14ac:dyDescent="0.2">
      <c r="A51" s="7">
        <f t="shared" si="3"/>
        <v>1.75</v>
      </c>
      <c r="B51" s="117">
        <v>5.3200000000000001E-3</v>
      </c>
      <c r="C51" s="47">
        <f t="shared" si="0"/>
        <v>1.5960000000000002E-2</v>
      </c>
      <c r="D51" s="47">
        <f t="shared" si="1"/>
        <v>1.5893750000000002E-2</v>
      </c>
      <c r="E51" s="47">
        <f t="shared" si="2"/>
        <v>1.5893750000000002E-2</v>
      </c>
      <c r="G51" s="2" t="str">
        <f>$C$17</f>
        <v>Intermediate storm, 20% exceedance</v>
      </c>
      <c r="N51" s="7">
        <f t="shared" si="7"/>
        <v>0.58333333333333326</v>
      </c>
      <c r="O51" s="117">
        <v>8.2400000000000008E-3</v>
      </c>
      <c r="P51" s="47">
        <f t="shared" si="4"/>
        <v>6.5920000000000006E-3</v>
      </c>
      <c r="Q51" s="47">
        <f t="shared" si="5"/>
        <v>5.2979166666666669E-3</v>
      </c>
      <c r="R51" s="47">
        <f t="shared" si="6"/>
        <v>5.2979166666666669E-3</v>
      </c>
      <c r="T51" s="2" t="str">
        <f>$P$17</f>
        <v>Short duration storm, 33% exceedance</v>
      </c>
    </row>
    <row r="52" spans="1:20" s="2" customFormat="1" ht="12.75" customHeight="1" x14ac:dyDescent="0.2">
      <c r="A52" s="7">
        <f t="shared" si="3"/>
        <v>2</v>
      </c>
      <c r="B52" s="117">
        <v>5.8500000000000002E-3</v>
      </c>
      <c r="C52" s="47">
        <f t="shared" si="0"/>
        <v>1.755E-2</v>
      </c>
      <c r="D52" s="47">
        <f t="shared" si="1"/>
        <v>1.5893750000000002E-2</v>
      </c>
      <c r="E52" s="47">
        <f t="shared" si="2"/>
        <v>1.5893750000000002E-2</v>
      </c>
      <c r="N52" s="7">
        <f t="shared" si="7"/>
        <v>0.66666666666666663</v>
      </c>
      <c r="O52" s="117">
        <v>4.5799999999999999E-3</v>
      </c>
      <c r="P52" s="47">
        <f t="shared" si="4"/>
        <v>3.6640000000000002E-3</v>
      </c>
      <c r="Q52" s="47">
        <f t="shared" si="5"/>
        <v>3.6640000000000002E-3</v>
      </c>
      <c r="R52" s="47">
        <f t="shared" si="6"/>
        <v>3.6640000000000002E-3</v>
      </c>
    </row>
    <row r="53" spans="1:20" s="2" customFormat="1" ht="12.75" customHeight="1" x14ac:dyDescent="0.2">
      <c r="A53" s="7">
        <f t="shared" si="3"/>
        <v>2.25</v>
      </c>
      <c r="B53" s="117">
        <v>6.3800000000000003E-3</v>
      </c>
      <c r="C53" s="47">
        <f t="shared" si="0"/>
        <v>1.9140000000000001E-2</v>
      </c>
      <c r="D53" s="47">
        <f t="shared" si="1"/>
        <v>1.5893750000000002E-2</v>
      </c>
      <c r="E53" s="47">
        <f t="shared" si="2"/>
        <v>1.5893750000000002E-2</v>
      </c>
      <c r="N53" s="7">
        <f t="shared" si="7"/>
        <v>0.75</v>
      </c>
      <c r="O53" s="117">
        <v>1.83E-3</v>
      </c>
      <c r="P53" s="47">
        <f t="shared" si="4"/>
        <v>1.464E-3</v>
      </c>
      <c r="Q53" s="47">
        <f t="shared" si="5"/>
        <v>1.464E-3</v>
      </c>
      <c r="R53" s="47">
        <f t="shared" si="6"/>
        <v>1.464E-3</v>
      </c>
    </row>
    <row r="54" spans="1:20" s="2" customFormat="1" ht="12.75" customHeight="1" x14ac:dyDescent="0.2">
      <c r="A54" s="7">
        <f t="shared" si="3"/>
        <v>2.5</v>
      </c>
      <c r="B54" s="117">
        <v>6.9100000000000003E-3</v>
      </c>
      <c r="C54" s="47">
        <f t="shared" si="0"/>
        <v>2.0730000000000002E-2</v>
      </c>
      <c r="D54" s="47">
        <f t="shared" si="1"/>
        <v>1.5893750000000002E-2</v>
      </c>
      <c r="E54" s="47">
        <f t="shared" si="2"/>
        <v>1.5893750000000002E-2</v>
      </c>
      <c r="N54" s="7">
        <f t="shared" si="7"/>
        <v>0.83333333333333337</v>
      </c>
      <c r="O54" s="117">
        <v>0</v>
      </c>
      <c r="P54" s="47">
        <f t="shared" si="4"/>
        <v>0</v>
      </c>
      <c r="Q54" s="47">
        <f t="shared" si="5"/>
        <v>0</v>
      </c>
      <c r="R54" s="47">
        <f t="shared" si="6"/>
        <v>0</v>
      </c>
    </row>
    <row r="55" spans="1:20" s="2" customFormat="1" ht="12.75" customHeight="1" x14ac:dyDescent="0.2">
      <c r="A55" s="7">
        <f t="shared" si="3"/>
        <v>2.75</v>
      </c>
      <c r="B55" s="117">
        <v>7.45E-3</v>
      </c>
      <c r="C55" s="47">
        <f t="shared" si="0"/>
        <v>2.2350000000000002E-2</v>
      </c>
      <c r="D55" s="47">
        <f t="shared" si="1"/>
        <v>1.5893750000000002E-2</v>
      </c>
      <c r="E55" s="47">
        <f t="shared" si="2"/>
        <v>1.5893750000000002E-2</v>
      </c>
      <c r="N55" s="7">
        <f t="shared" si="7"/>
        <v>0.91666666666666674</v>
      </c>
      <c r="O55" s="117">
        <v>0</v>
      </c>
      <c r="P55" s="47">
        <f t="shared" si="4"/>
        <v>0</v>
      </c>
      <c r="Q55" s="47">
        <f t="shared" si="5"/>
        <v>0</v>
      </c>
      <c r="R55" s="47">
        <f t="shared" si="6"/>
        <v>0</v>
      </c>
    </row>
    <row r="56" spans="1:20" s="2" customFormat="1" ht="12.75" customHeight="1" x14ac:dyDescent="0.2">
      <c r="A56" s="7">
        <f t="shared" si="3"/>
        <v>3</v>
      </c>
      <c r="B56" s="117">
        <v>7.9799999999999992E-3</v>
      </c>
      <c r="C56" s="47">
        <f t="shared" si="0"/>
        <v>2.3939999999999996E-2</v>
      </c>
      <c r="D56" s="47">
        <f t="shared" si="1"/>
        <v>1.5893750000000002E-2</v>
      </c>
      <c r="E56" s="47">
        <f t="shared" si="2"/>
        <v>1.5893750000000002E-2</v>
      </c>
      <c r="N56" s="7">
        <f t="shared" si="7"/>
        <v>1</v>
      </c>
      <c r="O56" s="117">
        <v>0</v>
      </c>
      <c r="P56" s="47">
        <f t="shared" si="4"/>
        <v>0</v>
      </c>
      <c r="Q56" s="47">
        <f t="shared" si="5"/>
        <v>0</v>
      </c>
      <c r="R56" s="47">
        <f t="shared" si="6"/>
        <v>0</v>
      </c>
    </row>
    <row r="57" spans="1:20" s="2" customFormat="1" ht="12.75" customHeight="1" x14ac:dyDescent="0.2">
      <c r="A57" s="7">
        <f t="shared" si="3"/>
        <v>3.25</v>
      </c>
      <c r="B57" s="117">
        <v>8.5100000000000002E-3</v>
      </c>
      <c r="C57" s="47">
        <f t="shared" si="0"/>
        <v>2.5530000000000001E-2</v>
      </c>
      <c r="D57" s="47">
        <f t="shared" si="1"/>
        <v>1.5893750000000002E-2</v>
      </c>
      <c r="E57" s="47">
        <f t="shared" si="2"/>
        <v>1.5893750000000002E-2</v>
      </c>
      <c r="N57" s="7">
        <f t="shared" si="7"/>
        <v>1.0833333333333333</v>
      </c>
      <c r="O57" s="117">
        <v>0</v>
      </c>
      <c r="P57" s="47">
        <f t="shared" si="4"/>
        <v>0</v>
      </c>
      <c r="Q57" s="47">
        <f t="shared" si="5"/>
        <v>0</v>
      </c>
      <c r="R57" s="47">
        <f t="shared" si="6"/>
        <v>0</v>
      </c>
    </row>
    <row r="58" spans="1:20" s="2" customFormat="1" ht="12.75" customHeight="1" x14ac:dyDescent="0.2">
      <c r="A58" s="7">
        <f t="shared" si="3"/>
        <v>3.5</v>
      </c>
      <c r="B58" s="117">
        <v>9.0399999999999994E-3</v>
      </c>
      <c r="C58" s="47">
        <f t="shared" si="0"/>
        <v>2.7119999999999998E-2</v>
      </c>
      <c r="D58" s="47">
        <f t="shared" si="1"/>
        <v>1.5893750000000002E-2</v>
      </c>
      <c r="E58" s="47">
        <f t="shared" si="2"/>
        <v>1.5893750000000002E-2</v>
      </c>
      <c r="N58" s="7">
        <f t="shared" si="7"/>
        <v>1.1666666666666665</v>
      </c>
      <c r="O58" s="120">
        <v>0</v>
      </c>
      <c r="P58" s="47">
        <f t="shared" si="4"/>
        <v>0</v>
      </c>
      <c r="Q58" s="47">
        <f t="shared" si="5"/>
        <v>0</v>
      </c>
      <c r="R58" s="47">
        <f t="shared" si="6"/>
        <v>0</v>
      </c>
    </row>
    <row r="59" spans="1:20" s="2" customFormat="1" ht="12.75" customHeight="1" x14ac:dyDescent="0.2">
      <c r="A59" s="7">
        <f t="shared" si="3"/>
        <v>3.75</v>
      </c>
      <c r="B59" s="117">
        <v>9.5700000000000004E-3</v>
      </c>
      <c r="C59" s="47">
        <f t="shared" si="0"/>
        <v>2.8709999999999999E-2</v>
      </c>
      <c r="D59" s="47">
        <f t="shared" si="1"/>
        <v>1.5893750000000002E-2</v>
      </c>
      <c r="E59" s="47">
        <f t="shared" si="2"/>
        <v>1.5893750000000002E-2</v>
      </c>
      <c r="N59" s="7">
        <f t="shared" si="7"/>
        <v>1.2499999999999998</v>
      </c>
      <c r="O59" s="117">
        <v>0</v>
      </c>
      <c r="P59" s="47">
        <f t="shared" si="4"/>
        <v>0</v>
      </c>
      <c r="Q59" s="47">
        <f t="shared" si="5"/>
        <v>0</v>
      </c>
      <c r="R59" s="47">
        <f t="shared" si="6"/>
        <v>0</v>
      </c>
    </row>
    <row r="60" spans="1:20" s="2" customFormat="1" ht="12.75" customHeight="1" x14ac:dyDescent="0.2">
      <c r="A60" s="7">
        <f t="shared" si="3"/>
        <v>4</v>
      </c>
      <c r="B60" s="117">
        <v>1.0109999999999999E-2</v>
      </c>
      <c r="C60" s="47">
        <f t="shared" si="0"/>
        <v>3.0329999999999996E-2</v>
      </c>
      <c r="D60" s="47">
        <f t="shared" si="1"/>
        <v>1.5893750000000002E-2</v>
      </c>
      <c r="E60" s="47">
        <f t="shared" si="2"/>
        <v>1.5893750000000002E-2</v>
      </c>
      <c r="N60" s="7">
        <f t="shared" si="7"/>
        <v>1.333333333333333</v>
      </c>
      <c r="O60" s="117">
        <v>5.9500000000000004E-3</v>
      </c>
      <c r="P60" s="47">
        <f t="shared" si="4"/>
        <v>4.7600000000000003E-3</v>
      </c>
      <c r="Q60" s="47">
        <f t="shared" si="5"/>
        <v>4.7600000000000003E-3</v>
      </c>
      <c r="R60" s="47">
        <f t="shared" si="6"/>
        <v>4.7600000000000003E-3</v>
      </c>
    </row>
    <row r="61" spans="1:20" s="2" customFormat="1" ht="12.75" customHeight="1" x14ac:dyDescent="0.2">
      <c r="A61" s="7">
        <f t="shared" si="3"/>
        <v>4.25</v>
      </c>
      <c r="B61" s="117">
        <v>1.064E-2</v>
      </c>
      <c r="C61" s="47">
        <f t="shared" si="0"/>
        <v>3.1920000000000004E-2</v>
      </c>
      <c r="D61" s="47">
        <f t="shared" si="1"/>
        <v>1.5893750000000002E-2</v>
      </c>
      <c r="E61" s="47">
        <f t="shared" si="2"/>
        <v>1.5893750000000002E-2</v>
      </c>
      <c r="N61" s="7">
        <f t="shared" si="7"/>
        <v>1.4166666666666663</v>
      </c>
      <c r="O61" s="117">
        <v>1.2829999999999999E-2</v>
      </c>
      <c r="P61" s="47">
        <f t="shared" si="4"/>
        <v>1.0264000000000001E-2</v>
      </c>
      <c r="Q61" s="47">
        <f t="shared" si="5"/>
        <v>5.2979166666666669E-3</v>
      </c>
      <c r="R61" s="47">
        <f t="shared" si="6"/>
        <v>5.2979166666666669E-3</v>
      </c>
    </row>
    <row r="62" spans="1:20" s="2" customFormat="1" ht="12.75" customHeight="1" x14ac:dyDescent="0.2">
      <c r="A62" s="7">
        <f t="shared" si="3"/>
        <v>4.5</v>
      </c>
      <c r="B62" s="117">
        <v>1.1169999999999999E-2</v>
      </c>
      <c r="C62" s="47">
        <f t="shared" si="0"/>
        <v>3.3509999999999998E-2</v>
      </c>
      <c r="D62" s="47">
        <f t="shared" si="1"/>
        <v>1.5893750000000002E-2</v>
      </c>
      <c r="E62" s="47">
        <f t="shared" si="2"/>
        <v>1.5893750000000002E-2</v>
      </c>
      <c r="N62" s="7">
        <f t="shared" si="7"/>
        <v>1.4999999999999996</v>
      </c>
      <c r="O62" s="117">
        <v>1.9890000000000001E-2</v>
      </c>
      <c r="P62" s="47">
        <f t="shared" si="4"/>
        <v>1.5912000000000003E-2</v>
      </c>
      <c r="Q62" s="47">
        <f t="shared" si="5"/>
        <v>5.2979166666666669E-3</v>
      </c>
      <c r="R62" s="47">
        <f t="shared" si="6"/>
        <v>5.2979166666666669E-3</v>
      </c>
    </row>
    <row r="63" spans="1:20" s="2" customFormat="1" ht="12.75" customHeight="1" x14ac:dyDescent="0.2">
      <c r="A63" s="7">
        <f t="shared" si="3"/>
        <v>4.75</v>
      </c>
      <c r="B63" s="117">
        <v>1.17E-2</v>
      </c>
      <c r="C63" s="47">
        <f t="shared" si="0"/>
        <v>3.5099999999999999E-2</v>
      </c>
      <c r="D63" s="47">
        <f t="shared" si="1"/>
        <v>1.5893750000000002E-2</v>
      </c>
      <c r="E63" s="47">
        <f t="shared" si="2"/>
        <v>1.5893750000000002E-2</v>
      </c>
      <c r="N63" s="7">
        <f t="shared" si="7"/>
        <v>1.5833333333333328</v>
      </c>
      <c r="O63" s="117">
        <v>2.181E-2</v>
      </c>
      <c r="P63" s="47">
        <f t="shared" si="4"/>
        <v>1.7448000000000002E-2</v>
      </c>
      <c r="Q63" s="47">
        <f t="shared" si="5"/>
        <v>5.2979166666666669E-3</v>
      </c>
      <c r="R63" s="47">
        <f t="shared" si="6"/>
        <v>5.2979166666666669E-3</v>
      </c>
    </row>
    <row r="64" spans="1:20" s="2" customFormat="1" ht="12.75" customHeight="1" x14ac:dyDescent="0.2">
      <c r="A64" s="7">
        <f t="shared" si="3"/>
        <v>5</v>
      </c>
      <c r="B64" s="117">
        <v>1.2239999999999999E-2</v>
      </c>
      <c r="C64" s="47">
        <f t="shared" si="0"/>
        <v>3.6719999999999996E-2</v>
      </c>
      <c r="D64" s="47">
        <f t="shared" si="1"/>
        <v>1.5893750000000002E-2</v>
      </c>
      <c r="E64" s="47">
        <f t="shared" si="2"/>
        <v>1.5893750000000002E-2</v>
      </c>
      <c r="N64" s="7">
        <f t="shared" si="7"/>
        <v>1.6666666666666661</v>
      </c>
      <c r="O64" s="117">
        <v>2.9329999999999998E-2</v>
      </c>
      <c r="P64" s="47">
        <f t="shared" si="4"/>
        <v>2.3463999999999999E-2</v>
      </c>
      <c r="Q64" s="47">
        <f t="shared" si="5"/>
        <v>5.2979166666666669E-3</v>
      </c>
      <c r="R64" s="47">
        <f t="shared" si="6"/>
        <v>5.2979166666666669E-3</v>
      </c>
    </row>
    <row r="65" spans="1:26" s="2" customFormat="1" ht="12.75" customHeight="1" x14ac:dyDescent="0.2">
      <c r="A65" s="7">
        <f t="shared" si="3"/>
        <v>5.25</v>
      </c>
      <c r="B65" s="117">
        <v>1.277E-2</v>
      </c>
      <c r="C65" s="47">
        <f t="shared" si="0"/>
        <v>3.8309999999999997E-2</v>
      </c>
      <c r="D65" s="47">
        <f t="shared" si="1"/>
        <v>1.5893750000000002E-2</v>
      </c>
      <c r="E65" s="47">
        <f t="shared" si="2"/>
        <v>1.5893750000000002E-2</v>
      </c>
      <c r="N65" s="7">
        <f t="shared" si="7"/>
        <v>1.7499999999999993</v>
      </c>
      <c r="O65" s="117">
        <v>4.7660000000000001E-2</v>
      </c>
      <c r="P65" s="47">
        <f t="shared" si="4"/>
        <v>3.8128000000000002E-2</v>
      </c>
      <c r="Q65" s="47">
        <f t="shared" si="5"/>
        <v>5.2979166666666669E-3</v>
      </c>
      <c r="R65" s="47">
        <f t="shared" si="6"/>
        <v>5.2979166666666669E-3</v>
      </c>
    </row>
    <row r="66" spans="1:26" s="2" customFormat="1" ht="12.75" customHeight="1" x14ac:dyDescent="0.2">
      <c r="A66" s="7">
        <f t="shared" si="3"/>
        <v>5.5</v>
      </c>
      <c r="B66" s="117">
        <v>1.3299999999999999E-2</v>
      </c>
      <c r="C66" s="47">
        <f t="shared" si="0"/>
        <v>3.9899999999999998E-2</v>
      </c>
      <c r="D66" s="47">
        <f t="shared" si="1"/>
        <v>1.5893750000000002E-2</v>
      </c>
      <c r="E66" s="47">
        <f t="shared" si="2"/>
        <v>1.5893750000000002E-2</v>
      </c>
      <c r="I66" s="44"/>
      <c r="N66" s="7">
        <f t="shared" si="7"/>
        <v>1.8333333333333326</v>
      </c>
      <c r="O66" s="117">
        <v>5.5910000000000001E-2</v>
      </c>
      <c r="P66" s="47">
        <f t="shared" si="4"/>
        <v>4.4728000000000004E-2</v>
      </c>
      <c r="Q66" s="47">
        <f t="shared" si="5"/>
        <v>5.2979166666666669E-3</v>
      </c>
      <c r="R66" s="47">
        <f t="shared" si="6"/>
        <v>5.2979166666666669E-3</v>
      </c>
      <c r="U66" s="4" t="s">
        <v>63</v>
      </c>
      <c r="V66" s="33">
        <f>V68/$U$18*60</f>
        <v>2.3933760000000004</v>
      </c>
      <c r="W66" s="2" t="s">
        <v>64</v>
      </c>
    </row>
    <row r="67" spans="1:26" s="2" customFormat="1" ht="12.75" customHeight="1" x14ac:dyDescent="0.2">
      <c r="A67" s="7">
        <f t="shared" si="3"/>
        <v>5.75</v>
      </c>
      <c r="B67" s="117">
        <v>1.436E-2</v>
      </c>
      <c r="C67" s="47">
        <f t="shared" si="0"/>
        <v>4.308E-2</v>
      </c>
      <c r="D67" s="47">
        <f t="shared" si="1"/>
        <v>1.5893750000000002E-2</v>
      </c>
      <c r="E67" s="47">
        <f t="shared" si="2"/>
        <v>1.5893750000000002E-2</v>
      </c>
      <c r="I67" s="44"/>
      <c r="N67" s="7">
        <f t="shared" si="7"/>
        <v>1.9166666666666659</v>
      </c>
      <c r="O67" s="117">
        <v>0.11824</v>
      </c>
      <c r="P67" s="47">
        <f t="shared" si="4"/>
        <v>9.4592000000000009E-2</v>
      </c>
      <c r="Q67" s="47">
        <f t="shared" si="5"/>
        <v>5.2979166666666669E-3</v>
      </c>
      <c r="R67" s="47">
        <f t="shared" si="6"/>
        <v>5.2979166666666669E-3</v>
      </c>
      <c r="V67" s="33"/>
    </row>
    <row r="68" spans="1:26" s="2" customFormat="1" ht="12.75" customHeight="1" x14ac:dyDescent="0.2">
      <c r="A68" s="7">
        <f t="shared" si="3"/>
        <v>6</v>
      </c>
      <c r="B68" s="117">
        <v>1.5959999999999998E-2</v>
      </c>
      <c r="C68" s="47">
        <f t="shared" si="0"/>
        <v>4.7879999999999992E-2</v>
      </c>
      <c r="D68" s="47">
        <f t="shared" si="1"/>
        <v>1.5893750000000002E-2</v>
      </c>
      <c r="E68" s="47">
        <f t="shared" si="2"/>
        <v>1.5893750000000002E-2</v>
      </c>
      <c r="I68" s="44"/>
      <c r="N68" s="7">
        <f t="shared" si="7"/>
        <v>1.9999999999999991</v>
      </c>
      <c r="O68" s="118">
        <v>0.24931</v>
      </c>
      <c r="P68" s="58">
        <f t="shared" si="4"/>
        <v>0.19944800000000001</v>
      </c>
      <c r="Q68" s="47">
        <f t="shared" si="5"/>
        <v>5.2979166666666669E-3</v>
      </c>
      <c r="R68" s="47">
        <f t="shared" si="6"/>
        <v>5.2979166666666669E-3</v>
      </c>
      <c r="U68" s="23" t="s">
        <v>94</v>
      </c>
      <c r="V68" s="33">
        <f>MAX(P45:P92)</f>
        <v>0.19944800000000001</v>
      </c>
      <c r="W68" s="2" t="s">
        <v>41</v>
      </c>
      <c r="X68" s="131" t="s">
        <v>49</v>
      </c>
      <c r="Y68" s="132">
        <f>P68-V68</f>
        <v>0</v>
      </c>
      <c r="Z68" s="62" t="s">
        <v>41</v>
      </c>
    </row>
    <row r="69" spans="1:26" s="2" customFormat="1" ht="12.75" customHeight="1" x14ac:dyDescent="0.2">
      <c r="A69" s="7">
        <f t="shared" si="3"/>
        <v>6.25</v>
      </c>
      <c r="B69" s="117">
        <v>1.8089999999999998E-2</v>
      </c>
      <c r="C69" s="47">
        <f t="shared" si="0"/>
        <v>5.4269999999999999E-2</v>
      </c>
      <c r="D69" s="47">
        <f t="shared" si="1"/>
        <v>1.5893750000000002E-2</v>
      </c>
      <c r="E69" s="47">
        <f t="shared" si="2"/>
        <v>1.5893750000000002E-2</v>
      </c>
      <c r="I69" s="44"/>
      <c r="N69" s="7">
        <f t="shared" si="7"/>
        <v>2.0833333333333326</v>
      </c>
      <c r="O69" s="117">
        <v>0.15032000000000001</v>
      </c>
      <c r="P69" s="47">
        <f t="shared" si="4"/>
        <v>0.12025600000000002</v>
      </c>
      <c r="Q69" s="47">
        <f t="shared" si="5"/>
        <v>5.2979166666666669E-3</v>
      </c>
      <c r="R69" s="47">
        <f t="shared" si="6"/>
        <v>5.2979166666666669E-3</v>
      </c>
      <c r="U69" s="23" t="s">
        <v>65</v>
      </c>
      <c r="V69" s="33">
        <f>SUM(P67:P69)</f>
        <v>0.41429600000000005</v>
      </c>
      <c r="W69" s="2" t="s">
        <v>41</v>
      </c>
    </row>
    <row r="70" spans="1:26" s="2" customFormat="1" ht="12.75" customHeight="1" x14ac:dyDescent="0.2">
      <c r="A70" s="7">
        <f t="shared" si="3"/>
        <v>6.5</v>
      </c>
      <c r="B70" s="117">
        <v>2.085E-2</v>
      </c>
      <c r="C70" s="47">
        <f t="shared" si="0"/>
        <v>6.2549999999999994E-2</v>
      </c>
      <c r="D70" s="47">
        <f t="shared" si="1"/>
        <v>1.5893750000000002E-2</v>
      </c>
      <c r="E70" s="47">
        <f t="shared" si="2"/>
        <v>1.5893750000000002E-2</v>
      </c>
      <c r="I70" s="44"/>
      <c r="N70" s="7">
        <f t="shared" si="7"/>
        <v>2.1666666666666661</v>
      </c>
      <c r="O70" s="117">
        <v>5.5910000000000001E-2</v>
      </c>
      <c r="P70" s="47">
        <f t="shared" si="4"/>
        <v>4.4728000000000004E-2</v>
      </c>
      <c r="Q70" s="47">
        <f t="shared" si="5"/>
        <v>5.2979166666666669E-3</v>
      </c>
      <c r="R70" s="47">
        <f t="shared" si="6"/>
        <v>5.2979166666666669E-3</v>
      </c>
      <c r="U70" s="4" t="s">
        <v>66</v>
      </c>
      <c r="V70" s="33">
        <f>SUM(P65:P70)</f>
        <v>0.54188000000000003</v>
      </c>
      <c r="W70" s="2" t="s">
        <v>41</v>
      </c>
    </row>
    <row r="71" spans="1:26" s="2" customFormat="1" ht="12.75" customHeight="1" x14ac:dyDescent="0.2">
      <c r="A71" s="7">
        <f t="shared" si="3"/>
        <v>6.75</v>
      </c>
      <c r="B71" s="117">
        <v>2.41E-2</v>
      </c>
      <c r="C71" s="47">
        <f t="shared" si="0"/>
        <v>7.2300000000000003E-2</v>
      </c>
      <c r="D71" s="47">
        <f t="shared" si="1"/>
        <v>1.5893750000000002E-2</v>
      </c>
      <c r="E71" s="47">
        <f t="shared" si="2"/>
        <v>1.5893750000000002E-2</v>
      </c>
      <c r="I71" s="44"/>
      <c r="N71" s="7">
        <f t="shared" si="7"/>
        <v>2.2499999999999996</v>
      </c>
      <c r="O71" s="117">
        <v>3.6839999999999998E-2</v>
      </c>
      <c r="P71" s="47">
        <f t="shared" si="4"/>
        <v>2.9471999999999998E-2</v>
      </c>
      <c r="Q71" s="47">
        <f t="shared" si="5"/>
        <v>5.2979166666666669E-3</v>
      </c>
      <c r="R71" s="47">
        <f t="shared" si="6"/>
        <v>5.2979166666666669E-3</v>
      </c>
      <c r="U71" s="4" t="s">
        <v>67</v>
      </c>
      <c r="V71" s="33">
        <f>SUM(P63:P74)</f>
        <v>0.66496799999999989</v>
      </c>
      <c r="W71" s="2" t="s">
        <v>41</v>
      </c>
    </row>
    <row r="72" spans="1:26" s="2" customFormat="1" ht="12.75" customHeight="1" x14ac:dyDescent="0.2">
      <c r="A72" s="7">
        <f t="shared" si="3"/>
        <v>7</v>
      </c>
      <c r="B72" s="117">
        <v>2.085E-2</v>
      </c>
      <c r="C72" s="47">
        <f t="shared" si="0"/>
        <v>6.2549999999999994E-2</v>
      </c>
      <c r="D72" s="47">
        <f t="shared" si="1"/>
        <v>1.5893750000000002E-2</v>
      </c>
      <c r="E72" s="47">
        <f t="shared" si="2"/>
        <v>1.5893750000000002E-2</v>
      </c>
      <c r="I72" s="44"/>
      <c r="N72" s="7">
        <f t="shared" si="7"/>
        <v>2.333333333333333</v>
      </c>
      <c r="O72" s="117">
        <v>2.3730000000000001E-2</v>
      </c>
      <c r="P72" s="47">
        <f t="shared" si="4"/>
        <v>1.8984000000000001E-2</v>
      </c>
      <c r="Q72" s="47">
        <f t="shared" si="5"/>
        <v>5.2979166666666669E-3</v>
      </c>
      <c r="R72" s="47">
        <f t="shared" si="6"/>
        <v>5.2979166666666669E-3</v>
      </c>
    </row>
    <row r="73" spans="1:26" s="2" customFormat="1" ht="12.75" customHeight="1" x14ac:dyDescent="0.2">
      <c r="A73" s="7">
        <f t="shared" si="3"/>
        <v>7.25</v>
      </c>
      <c r="B73" s="117">
        <v>1.8089999999999998E-2</v>
      </c>
      <c r="C73" s="47">
        <f t="shared" si="0"/>
        <v>5.4269999999999999E-2</v>
      </c>
      <c r="D73" s="47">
        <f t="shared" si="1"/>
        <v>1.5893750000000002E-2</v>
      </c>
      <c r="E73" s="47">
        <f t="shared" si="2"/>
        <v>1.5893750000000002E-2</v>
      </c>
      <c r="I73" s="44"/>
      <c r="N73" s="7">
        <f t="shared" si="7"/>
        <v>2.4166666666666665</v>
      </c>
      <c r="O73" s="117">
        <v>2.172E-2</v>
      </c>
      <c r="P73" s="47">
        <f t="shared" si="4"/>
        <v>1.7375999999999999E-2</v>
      </c>
      <c r="Q73" s="47">
        <f t="shared" si="5"/>
        <v>5.2979166666666669E-3</v>
      </c>
      <c r="R73" s="47">
        <f t="shared" si="6"/>
        <v>5.2979166666666669E-3</v>
      </c>
    </row>
    <row r="74" spans="1:26" s="2" customFormat="1" ht="12.75" customHeight="1" x14ac:dyDescent="0.2">
      <c r="A74" s="7">
        <f t="shared" si="3"/>
        <v>7.5</v>
      </c>
      <c r="B74" s="117">
        <v>1.5959999999999998E-2</v>
      </c>
      <c r="C74" s="47">
        <f t="shared" si="0"/>
        <v>4.7879999999999992E-2</v>
      </c>
      <c r="D74" s="47">
        <f t="shared" si="1"/>
        <v>1.5893750000000002E-2</v>
      </c>
      <c r="E74" s="47">
        <f t="shared" si="2"/>
        <v>1.5893750000000002E-2</v>
      </c>
      <c r="I74" s="44"/>
      <c r="N74" s="7">
        <f t="shared" si="7"/>
        <v>2.5</v>
      </c>
      <c r="O74" s="117">
        <v>2.043E-2</v>
      </c>
      <c r="P74" s="47">
        <f t="shared" si="4"/>
        <v>1.6344000000000001E-2</v>
      </c>
      <c r="Q74" s="47">
        <f t="shared" si="5"/>
        <v>5.2979166666666669E-3</v>
      </c>
      <c r="R74" s="47">
        <f t="shared" si="6"/>
        <v>5.2979166666666669E-3</v>
      </c>
    </row>
    <row r="75" spans="1:26" s="2" customFormat="1" ht="12.75" customHeight="1" x14ac:dyDescent="0.2">
      <c r="A75" s="7">
        <f t="shared" si="3"/>
        <v>7.75</v>
      </c>
      <c r="B75" s="117">
        <v>1.436E-2</v>
      </c>
      <c r="C75" s="47">
        <f t="shared" si="0"/>
        <v>4.308E-2</v>
      </c>
      <c r="D75" s="47">
        <f t="shared" si="1"/>
        <v>1.5893750000000002E-2</v>
      </c>
      <c r="E75" s="47">
        <f t="shared" si="2"/>
        <v>1.5893750000000002E-2</v>
      </c>
      <c r="I75" s="44"/>
      <c r="N75" s="7">
        <f t="shared" si="7"/>
        <v>2.5833333333333335</v>
      </c>
      <c r="O75" s="117">
        <v>1.915E-2</v>
      </c>
      <c r="P75" s="47">
        <f t="shared" si="4"/>
        <v>1.532E-2</v>
      </c>
      <c r="Q75" s="47">
        <f t="shared" si="5"/>
        <v>5.2979166666666669E-3</v>
      </c>
      <c r="R75" s="47">
        <f t="shared" si="6"/>
        <v>5.2979166666666669E-3</v>
      </c>
    </row>
    <row r="76" spans="1:26" s="2" customFormat="1" ht="12.75" customHeight="1" x14ac:dyDescent="0.2">
      <c r="A76" s="7">
        <f t="shared" si="3"/>
        <v>8</v>
      </c>
      <c r="B76" s="117">
        <v>1.3299999999999999E-2</v>
      </c>
      <c r="C76" s="47">
        <f t="shared" si="0"/>
        <v>3.9899999999999998E-2</v>
      </c>
      <c r="D76" s="47">
        <f t="shared" si="1"/>
        <v>1.5893750000000002E-2</v>
      </c>
      <c r="E76" s="47">
        <f t="shared" si="2"/>
        <v>1.5893750000000002E-2</v>
      </c>
      <c r="N76" s="7">
        <f t="shared" si="7"/>
        <v>2.666666666666667</v>
      </c>
      <c r="O76" s="117">
        <v>1.374E-2</v>
      </c>
      <c r="P76" s="47">
        <f t="shared" si="4"/>
        <v>1.0992000000000002E-2</v>
      </c>
      <c r="Q76" s="47">
        <f t="shared" si="5"/>
        <v>5.2979166666666669E-3</v>
      </c>
      <c r="R76" s="47">
        <f t="shared" si="6"/>
        <v>5.2979166666666669E-3</v>
      </c>
    </row>
    <row r="77" spans="1:26" s="2" customFormat="1" ht="12.75" customHeight="1" x14ac:dyDescent="0.2">
      <c r="A77" s="7">
        <f t="shared" si="3"/>
        <v>8.25</v>
      </c>
      <c r="B77" s="117">
        <v>1.2239999999999999E-2</v>
      </c>
      <c r="C77" s="47">
        <f t="shared" si="0"/>
        <v>3.6719999999999996E-2</v>
      </c>
      <c r="D77" s="47">
        <f t="shared" si="1"/>
        <v>1.5893750000000002E-2</v>
      </c>
      <c r="E77" s="47">
        <f t="shared" si="2"/>
        <v>1.5893750000000002E-2</v>
      </c>
      <c r="N77" s="7">
        <f t="shared" si="7"/>
        <v>2.7500000000000004</v>
      </c>
      <c r="O77" s="117">
        <v>8.8900000000000003E-3</v>
      </c>
      <c r="P77" s="47">
        <f t="shared" si="4"/>
        <v>7.1120000000000003E-3</v>
      </c>
      <c r="Q77" s="47">
        <f>MIN(P77,$S$25)</f>
        <v>5.2979166666666669E-3</v>
      </c>
      <c r="R77" s="47">
        <f t="shared" si="6"/>
        <v>5.2979166666666669E-3</v>
      </c>
    </row>
    <row r="78" spans="1:26" s="2" customFormat="1" ht="12.75" customHeight="1" x14ac:dyDescent="0.2">
      <c r="A78" s="7">
        <f t="shared" si="3"/>
        <v>8.5</v>
      </c>
      <c r="B78" s="117">
        <v>1.1169999999999999E-2</v>
      </c>
      <c r="C78" s="47">
        <f t="shared" si="0"/>
        <v>3.3509999999999998E-2</v>
      </c>
      <c r="D78" s="47">
        <f t="shared" si="1"/>
        <v>1.5893750000000002E-2</v>
      </c>
      <c r="E78" s="47">
        <f t="shared" si="2"/>
        <v>1.5893750000000002E-2</v>
      </c>
      <c r="N78" s="7">
        <f t="shared" si="7"/>
        <v>2.8333333333333339</v>
      </c>
      <c r="O78" s="117">
        <v>4.8500000000000001E-3</v>
      </c>
      <c r="P78" s="47">
        <f t="shared" si="4"/>
        <v>3.8800000000000002E-3</v>
      </c>
      <c r="Q78" s="47">
        <f t="shared" si="5"/>
        <v>3.8800000000000002E-3</v>
      </c>
      <c r="R78" s="47">
        <f t="shared" si="6"/>
        <v>3.8800000000000002E-3</v>
      </c>
    </row>
    <row r="79" spans="1:26" s="2" customFormat="1" ht="12.75" customHeight="1" x14ac:dyDescent="0.2">
      <c r="A79" s="7">
        <f t="shared" si="3"/>
        <v>8.75</v>
      </c>
      <c r="B79" s="117">
        <v>1.0109999999999999E-2</v>
      </c>
      <c r="C79" s="47">
        <f t="shared" si="0"/>
        <v>3.0329999999999996E-2</v>
      </c>
      <c r="D79" s="47">
        <f t="shared" si="1"/>
        <v>1.5893750000000002E-2</v>
      </c>
      <c r="E79" s="47">
        <f t="shared" si="2"/>
        <v>1.5893750000000002E-2</v>
      </c>
      <c r="N79" s="7">
        <f t="shared" si="7"/>
        <v>2.9166666666666674</v>
      </c>
      <c r="O79" s="117">
        <v>0</v>
      </c>
      <c r="P79" s="47">
        <f t="shared" si="4"/>
        <v>0</v>
      </c>
      <c r="Q79" s="47">
        <f t="shared" si="5"/>
        <v>0</v>
      </c>
      <c r="R79" s="47">
        <f>MIN(Q79,$P$28)</f>
        <v>0</v>
      </c>
    </row>
    <row r="80" spans="1:26" s="2" customFormat="1" ht="12.75" customHeight="1" x14ac:dyDescent="0.2">
      <c r="A80" s="7">
        <f t="shared" si="3"/>
        <v>9</v>
      </c>
      <c r="B80" s="117">
        <v>9.0399999999999994E-3</v>
      </c>
      <c r="C80" s="47">
        <f t="shared" si="0"/>
        <v>2.7119999999999998E-2</v>
      </c>
      <c r="D80" s="47">
        <f t="shared" si="1"/>
        <v>1.5893750000000002E-2</v>
      </c>
      <c r="E80" s="47">
        <f t="shared" si="2"/>
        <v>1.5893750000000002E-2</v>
      </c>
      <c r="N80" s="7">
        <f>N79+$W$18</f>
        <v>3.0000000000000009</v>
      </c>
      <c r="O80" s="117">
        <v>0</v>
      </c>
      <c r="P80" s="47">
        <f t="shared" si="4"/>
        <v>0</v>
      </c>
      <c r="Q80" s="47">
        <f t="shared" si="5"/>
        <v>0</v>
      </c>
      <c r="R80" s="47">
        <f t="shared" si="6"/>
        <v>0</v>
      </c>
    </row>
    <row r="81" spans="1:26" ht="12.75" customHeight="1" x14ac:dyDescent="0.25">
      <c r="A81" s="7">
        <f t="shared" si="3"/>
        <v>9.25</v>
      </c>
      <c r="B81" s="117">
        <v>7.9799999999999992E-3</v>
      </c>
      <c r="C81" s="47">
        <f t="shared" si="0"/>
        <v>2.3939999999999996E-2</v>
      </c>
      <c r="D81" s="47">
        <f t="shared" si="1"/>
        <v>1.5893750000000002E-2</v>
      </c>
      <c r="E81" s="47">
        <f t="shared" si="2"/>
        <v>1.5893750000000002E-2</v>
      </c>
      <c r="F81" s="2"/>
      <c r="G81" s="2"/>
      <c r="H81" s="2"/>
      <c r="I81" s="2"/>
      <c r="J81" s="2"/>
      <c r="K81" s="2"/>
      <c r="L81" s="2"/>
      <c r="M81" s="2"/>
      <c r="N81" s="7">
        <f t="shared" si="7"/>
        <v>3.0833333333333344</v>
      </c>
      <c r="O81" s="117">
        <v>0</v>
      </c>
      <c r="P81" s="47">
        <f t="shared" si="4"/>
        <v>0</v>
      </c>
      <c r="Q81" s="47">
        <f t="shared" si="5"/>
        <v>0</v>
      </c>
      <c r="R81" s="47">
        <f t="shared" si="6"/>
        <v>0</v>
      </c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7">
        <f t="shared" si="3"/>
        <v>9.5</v>
      </c>
      <c r="B82" s="117">
        <v>7.1799999999999998E-3</v>
      </c>
      <c r="C82" s="47">
        <f t="shared" si="0"/>
        <v>2.154E-2</v>
      </c>
      <c r="D82" s="47">
        <f t="shared" si="1"/>
        <v>1.5893750000000002E-2</v>
      </c>
      <c r="E82" s="47">
        <f t="shared" si="2"/>
        <v>1.5893750000000002E-2</v>
      </c>
      <c r="F82" s="2"/>
      <c r="G82" s="2" t="str">
        <f>$A$1</f>
        <v>[Dam name (owner); Dam Safety file no. ___ ]</v>
      </c>
      <c r="H82" s="2"/>
      <c r="I82" s="2"/>
      <c r="J82" s="2"/>
      <c r="K82" s="2"/>
      <c r="L82" s="2"/>
      <c r="M82" s="2"/>
      <c r="N82" s="7">
        <f t="shared" si="7"/>
        <v>3.1666666666666679</v>
      </c>
      <c r="O82" s="117">
        <v>0</v>
      </c>
      <c r="P82" s="47">
        <f t="shared" si="4"/>
        <v>0</v>
      </c>
      <c r="Q82" s="47">
        <f t="shared" si="5"/>
        <v>0</v>
      </c>
      <c r="R82" s="47">
        <f t="shared" si="6"/>
        <v>0</v>
      </c>
      <c r="S82" s="2"/>
      <c r="T82" s="2" t="str">
        <f>$A$1</f>
        <v>[Dam name (owner); Dam Safety file no. ___ ]</v>
      </c>
      <c r="U82" s="2"/>
      <c r="V82" s="2"/>
      <c r="W82" s="2"/>
      <c r="X82" s="2"/>
      <c r="Y82" s="2"/>
      <c r="Z82" s="2"/>
    </row>
    <row r="83" spans="1:26" ht="12.75" customHeight="1" x14ac:dyDescent="0.25">
      <c r="A83" s="7">
        <f t="shared" si="3"/>
        <v>9.75</v>
      </c>
      <c r="B83" s="117">
        <v>6.3800000000000003E-3</v>
      </c>
      <c r="C83" s="47">
        <f t="shared" si="0"/>
        <v>1.9140000000000001E-2</v>
      </c>
      <c r="D83" s="47">
        <f t="shared" si="1"/>
        <v>1.5893750000000002E-2</v>
      </c>
      <c r="E83" s="47">
        <f t="shared" si="2"/>
        <v>1.5893750000000002E-2</v>
      </c>
      <c r="F83" s="2"/>
      <c r="G83" s="2"/>
      <c r="H83" s="2"/>
      <c r="I83" s="2"/>
      <c r="J83" s="2"/>
      <c r="K83" s="2"/>
      <c r="L83" s="2"/>
      <c r="M83" s="2"/>
      <c r="N83" s="7">
        <f t="shared" si="7"/>
        <v>3.2500000000000013</v>
      </c>
      <c r="O83" s="117">
        <v>0</v>
      </c>
      <c r="P83" s="47">
        <f t="shared" si="4"/>
        <v>0</v>
      </c>
      <c r="Q83" s="47">
        <f t="shared" si="5"/>
        <v>0</v>
      </c>
      <c r="R83" s="47">
        <f t="shared" si="6"/>
        <v>0</v>
      </c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7">
        <f t="shared" si="3"/>
        <v>10</v>
      </c>
      <c r="B84" s="117">
        <v>6.6499999999999997E-3</v>
      </c>
      <c r="C84" s="47">
        <f t="shared" si="0"/>
        <v>1.9949999999999999E-2</v>
      </c>
      <c r="D84" s="47">
        <f t="shared" si="1"/>
        <v>1.5893750000000002E-2</v>
      </c>
      <c r="E84" s="47">
        <f t="shared" si="2"/>
        <v>1.5893750000000002E-2</v>
      </c>
      <c r="F84" s="2"/>
      <c r="G84" s="2" t="str">
        <f>$A$3</f>
        <v xml:space="preserve">Calculate post-fire infiltration rate and CN's for sub-basins in </v>
      </c>
      <c r="H84" s="2"/>
      <c r="I84" s="2"/>
      <c r="J84" s="2"/>
      <c r="K84" s="2"/>
      <c r="L84" s="2"/>
      <c r="M84" s="2"/>
      <c r="N84" s="7">
        <f t="shared" si="7"/>
        <v>3.3333333333333348</v>
      </c>
      <c r="O84" s="117">
        <v>0</v>
      </c>
      <c r="P84" s="47">
        <f t="shared" si="4"/>
        <v>0</v>
      </c>
      <c r="Q84" s="47">
        <f t="shared" si="5"/>
        <v>0</v>
      </c>
      <c r="R84" s="47">
        <f t="shared" si="6"/>
        <v>0</v>
      </c>
      <c r="S84" s="2"/>
      <c r="T84" s="2" t="str">
        <f>$A$3</f>
        <v xml:space="preserve">Calculate post-fire infiltration rate and CN's for sub-basins in </v>
      </c>
      <c r="U84" s="2"/>
      <c r="V84" s="2"/>
      <c r="W84" s="2"/>
      <c r="X84" s="2"/>
      <c r="Y84" s="2"/>
      <c r="Z84" s="2"/>
    </row>
    <row r="85" spans="1:26" ht="12.75" customHeight="1" x14ac:dyDescent="0.25">
      <c r="A85" s="7">
        <f t="shared" si="3"/>
        <v>10.25</v>
      </c>
      <c r="B85" s="117">
        <v>6.9100000000000003E-3</v>
      </c>
      <c r="C85" s="47">
        <f t="shared" si="0"/>
        <v>2.0730000000000002E-2</v>
      </c>
      <c r="D85" s="47">
        <f t="shared" si="1"/>
        <v>1.5893750000000002E-2</v>
      </c>
      <c r="E85" s="47">
        <f t="shared" si="2"/>
        <v>1.5893750000000002E-2</v>
      </c>
      <c r="F85" s="2"/>
      <c r="G85" s="2"/>
      <c r="H85" s="2" t="str">
        <f>$G$3</f>
        <v>_____________ watershed</v>
      </c>
      <c r="I85" s="2"/>
      <c r="J85" s="2"/>
      <c r="K85" s="2"/>
      <c r="L85" s="2"/>
      <c r="M85" s="2"/>
      <c r="N85" s="7">
        <f t="shared" si="7"/>
        <v>3.4166666666666683</v>
      </c>
      <c r="O85" s="117">
        <v>0</v>
      </c>
      <c r="P85" s="47">
        <f t="shared" si="4"/>
        <v>0</v>
      </c>
      <c r="Q85" s="47">
        <f t="shared" si="5"/>
        <v>0</v>
      </c>
      <c r="R85" s="47">
        <f t="shared" si="6"/>
        <v>0</v>
      </c>
      <c r="S85" s="2"/>
      <c r="T85" s="2"/>
      <c r="U85" s="2" t="str">
        <f>$G$3</f>
        <v>_____________ watershed</v>
      </c>
      <c r="V85" s="2"/>
      <c r="W85" s="2"/>
      <c r="X85" s="2"/>
      <c r="Y85" s="2"/>
      <c r="Z85" s="2"/>
    </row>
    <row r="86" spans="1:26" ht="12.75" customHeight="1" x14ac:dyDescent="0.25">
      <c r="A86" s="7">
        <f t="shared" si="3"/>
        <v>10.5</v>
      </c>
      <c r="B86" s="117">
        <v>7.1799999999999998E-3</v>
      </c>
      <c r="C86" s="47">
        <f t="shared" si="0"/>
        <v>2.154E-2</v>
      </c>
      <c r="D86" s="47">
        <f t="shared" si="1"/>
        <v>1.5893750000000002E-2</v>
      </c>
      <c r="E86" s="47">
        <f t="shared" si="2"/>
        <v>1.5893750000000002E-2</v>
      </c>
      <c r="F86" s="2"/>
      <c r="G86" s="3" t="str">
        <f>$B$4</f>
        <v>[name], mo/da/yr</v>
      </c>
      <c r="I86" s="2"/>
      <c r="J86" s="2"/>
      <c r="K86" s="2"/>
      <c r="L86" s="4" t="s">
        <v>164</v>
      </c>
      <c r="M86" s="48">
        <f>M46+1</f>
        <v>3</v>
      </c>
      <c r="N86" s="7">
        <f t="shared" si="7"/>
        <v>3.5000000000000018</v>
      </c>
      <c r="O86" s="117">
        <v>0</v>
      </c>
      <c r="P86" s="47">
        <f t="shared" si="4"/>
        <v>0</v>
      </c>
      <c r="Q86" s="47">
        <f t="shared" si="5"/>
        <v>0</v>
      </c>
      <c r="R86" s="47">
        <f t="shared" si="6"/>
        <v>0</v>
      </c>
      <c r="S86" s="2"/>
      <c r="T86" s="3" t="str">
        <f>$B$4</f>
        <v>[name], mo/da/yr</v>
      </c>
      <c r="V86" s="2"/>
      <c r="W86" s="2"/>
      <c r="Y86" s="4" t="s">
        <v>164</v>
      </c>
      <c r="Z86" s="48">
        <f>Z46+1</f>
        <v>7</v>
      </c>
    </row>
    <row r="87" spans="1:26" ht="12.75" customHeight="1" x14ac:dyDescent="0.25">
      <c r="A87" s="7">
        <f t="shared" si="3"/>
        <v>10.75</v>
      </c>
      <c r="B87" s="117">
        <v>7.7099999999999998E-3</v>
      </c>
      <c r="C87" s="47">
        <f t="shared" si="0"/>
        <v>2.3129999999999998E-2</v>
      </c>
      <c r="D87" s="47">
        <f t="shared" si="1"/>
        <v>1.5893750000000002E-2</v>
      </c>
      <c r="E87" s="47">
        <f t="shared" si="2"/>
        <v>1.5893750000000002E-2</v>
      </c>
      <c r="F87" s="2"/>
      <c r="G87" s="2"/>
      <c r="H87" s="2"/>
      <c r="I87" s="2"/>
      <c r="J87" s="2"/>
      <c r="K87" s="2"/>
      <c r="L87" s="4" t="s">
        <v>165</v>
      </c>
      <c r="M87" s="48">
        <f>$M$4</f>
        <v>7</v>
      </c>
      <c r="N87" s="7">
        <f t="shared" si="7"/>
        <v>3.5833333333333353</v>
      </c>
      <c r="O87" s="117">
        <v>0</v>
      </c>
      <c r="P87" s="47">
        <f t="shared" si="4"/>
        <v>0</v>
      </c>
      <c r="Q87" s="47">
        <f t="shared" si="5"/>
        <v>0</v>
      </c>
      <c r="R87" s="47">
        <f t="shared" si="6"/>
        <v>0</v>
      </c>
      <c r="S87" s="2"/>
      <c r="T87" s="2"/>
      <c r="U87" s="2"/>
      <c r="V87" s="2"/>
      <c r="W87" s="2"/>
      <c r="X87" s="2"/>
      <c r="Y87" s="4" t="s">
        <v>165</v>
      </c>
      <c r="Z87" s="48">
        <f>$M$4</f>
        <v>7</v>
      </c>
    </row>
    <row r="88" spans="1:26" ht="12.75" customHeight="1" x14ac:dyDescent="0.25">
      <c r="A88" s="7">
        <f t="shared" si="3"/>
        <v>11</v>
      </c>
      <c r="B88" s="117">
        <v>7.9799999999999992E-3</v>
      </c>
      <c r="C88" s="47">
        <f t="shared" si="0"/>
        <v>2.3939999999999996E-2</v>
      </c>
      <c r="D88" s="47">
        <f t="shared" si="1"/>
        <v>1.5893750000000002E-2</v>
      </c>
      <c r="E88" s="47">
        <f t="shared" si="2"/>
        <v>1.5893750000000002E-2</v>
      </c>
      <c r="F88" s="2"/>
      <c r="G88" s="2"/>
      <c r="H88" s="2"/>
      <c r="I88" s="2"/>
      <c r="J88" s="2"/>
      <c r="K88" s="2"/>
      <c r="L88" s="2"/>
      <c r="M88" s="2"/>
      <c r="N88" s="7">
        <f t="shared" si="7"/>
        <v>3.6666666666666687</v>
      </c>
      <c r="O88" s="117">
        <v>0</v>
      </c>
      <c r="P88" s="47">
        <f t="shared" si="4"/>
        <v>0</v>
      </c>
      <c r="Q88" s="47">
        <f t="shared" si="5"/>
        <v>0</v>
      </c>
      <c r="R88" s="47">
        <f t="shared" si="6"/>
        <v>0</v>
      </c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7">
        <f t="shared" si="3"/>
        <v>11.25</v>
      </c>
      <c r="B89" s="117">
        <v>1.0109999999999999E-2</v>
      </c>
      <c r="C89" s="47">
        <f t="shared" si="0"/>
        <v>3.0329999999999996E-2</v>
      </c>
      <c r="D89" s="47">
        <f t="shared" si="1"/>
        <v>1.5893750000000002E-2</v>
      </c>
      <c r="E89" s="47">
        <f t="shared" si="2"/>
        <v>1.5893750000000002E-2</v>
      </c>
      <c r="F89" s="2"/>
      <c r="G89" s="2"/>
      <c r="H89" s="2"/>
      <c r="I89" s="2"/>
      <c r="J89" s="2"/>
      <c r="K89" s="2"/>
      <c r="L89" s="2"/>
      <c r="M89" s="2"/>
      <c r="N89" s="7">
        <f t="shared" si="7"/>
        <v>3.7500000000000022</v>
      </c>
      <c r="O89" s="117">
        <v>0</v>
      </c>
      <c r="P89" s="47">
        <f t="shared" si="4"/>
        <v>0</v>
      </c>
      <c r="Q89" s="47">
        <f t="shared" si="5"/>
        <v>0</v>
      </c>
      <c r="R89" s="47">
        <f t="shared" si="6"/>
        <v>0</v>
      </c>
      <c r="S89" s="2"/>
      <c r="T89" s="2" t="s">
        <v>68</v>
      </c>
      <c r="U89" s="2"/>
      <c r="V89" s="2"/>
      <c r="W89" s="2"/>
      <c r="X89" s="2"/>
      <c r="Y89" s="2"/>
      <c r="Z89" s="2"/>
    </row>
    <row r="90" spans="1:26" ht="12.75" customHeight="1" x14ac:dyDescent="0.25">
      <c r="A90" s="7">
        <f t="shared" si="3"/>
        <v>11.5</v>
      </c>
      <c r="B90" s="117">
        <v>1.49E-2</v>
      </c>
      <c r="C90" s="47">
        <f t="shared" si="0"/>
        <v>4.4700000000000004E-2</v>
      </c>
      <c r="D90" s="47">
        <f t="shared" si="1"/>
        <v>1.5893750000000002E-2</v>
      </c>
      <c r="E90" s="47">
        <f t="shared" si="2"/>
        <v>1.5893750000000002E-2</v>
      </c>
      <c r="F90" s="2"/>
      <c r="H90" s="2"/>
      <c r="I90" s="2"/>
      <c r="J90" s="2"/>
      <c r="K90" s="2"/>
      <c r="L90" s="2"/>
      <c r="M90" s="2"/>
      <c r="N90" s="7">
        <f t="shared" si="7"/>
        <v>3.8333333333333357</v>
      </c>
      <c r="O90" s="117">
        <v>0</v>
      </c>
      <c r="P90" s="47">
        <f t="shared" si="4"/>
        <v>0</v>
      </c>
      <c r="Q90" s="47">
        <f t="shared" si="5"/>
        <v>0</v>
      </c>
      <c r="R90" s="47">
        <f t="shared" si="6"/>
        <v>0</v>
      </c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7">
        <f t="shared" si="3"/>
        <v>11.75</v>
      </c>
      <c r="B91" s="117">
        <v>1.8089999999999998E-2</v>
      </c>
      <c r="C91" s="47">
        <f t="shared" si="0"/>
        <v>5.4269999999999999E-2</v>
      </c>
      <c r="D91" s="47">
        <f t="shared" si="1"/>
        <v>1.5893750000000002E-2</v>
      </c>
      <c r="E91" s="47">
        <f t="shared" si="2"/>
        <v>1.5893750000000002E-2</v>
      </c>
      <c r="F91" s="2"/>
      <c r="G91" s="2" t="str">
        <f>$C$17</f>
        <v>Intermediate storm, 20% exceedance</v>
      </c>
      <c r="H91" s="2"/>
      <c r="I91" s="2"/>
      <c r="J91" s="2"/>
      <c r="K91" s="2"/>
      <c r="L91" s="2"/>
      <c r="M91" s="2"/>
      <c r="N91" s="7">
        <f t="shared" si="7"/>
        <v>3.9166666666666692</v>
      </c>
      <c r="O91" s="117">
        <v>0</v>
      </c>
      <c r="P91" s="47">
        <f t="shared" si="4"/>
        <v>0</v>
      </c>
      <c r="Q91" s="47">
        <f t="shared" si="5"/>
        <v>0</v>
      </c>
      <c r="R91" s="47">
        <f t="shared" si="6"/>
        <v>0</v>
      </c>
      <c r="S91" s="2"/>
      <c r="T91" s="2"/>
      <c r="U91" s="4" t="s">
        <v>69</v>
      </c>
      <c r="V91" s="133" t="s">
        <v>70</v>
      </c>
      <c r="W91" s="134">
        <f>P94-U19</f>
        <v>0</v>
      </c>
      <c r="X91" s="135" t="s">
        <v>41</v>
      </c>
      <c r="Y91" s="2"/>
      <c r="Z91" s="2"/>
    </row>
    <row r="92" spans="1:26" ht="12.75" customHeight="1" x14ac:dyDescent="0.25">
      <c r="A92" s="25">
        <f t="shared" si="3"/>
        <v>12</v>
      </c>
      <c r="B92" s="117">
        <v>2.0480000000000002E-2</v>
      </c>
      <c r="C92" s="47">
        <f t="shared" si="0"/>
        <v>6.1440000000000008E-2</v>
      </c>
      <c r="D92" s="47">
        <f t="shared" si="1"/>
        <v>1.5893750000000002E-2</v>
      </c>
      <c r="E92" s="47">
        <f t="shared" si="2"/>
        <v>1.5893750000000002E-2</v>
      </c>
      <c r="F92" s="2"/>
      <c r="G92" s="2"/>
      <c r="H92" s="2"/>
      <c r="I92" s="2"/>
      <c r="J92" s="2"/>
      <c r="K92" s="2"/>
      <c r="L92" s="2"/>
      <c r="M92" s="2"/>
      <c r="N92" s="7">
        <f t="shared" si="7"/>
        <v>4.0000000000000027</v>
      </c>
      <c r="O92" s="119">
        <v>0</v>
      </c>
      <c r="P92" s="47">
        <f t="shared" si="4"/>
        <v>0</v>
      </c>
      <c r="Q92" s="47">
        <f t="shared" si="5"/>
        <v>0</v>
      </c>
      <c r="R92" s="47">
        <f t="shared" si="6"/>
        <v>0</v>
      </c>
      <c r="S92" s="2"/>
      <c r="T92" s="2"/>
      <c r="U92" s="2"/>
      <c r="V92" s="133" t="s">
        <v>71</v>
      </c>
      <c r="W92" s="134">
        <f>(W91/U19)*100</f>
        <v>0</v>
      </c>
      <c r="X92" s="135" t="s">
        <v>72</v>
      </c>
      <c r="Y92" s="2"/>
      <c r="Z92" s="2"/>
    </row>
    <row r="93" spans="1:26" ht="12.75" customHeight="1" x14ac:dyDescent="0.25">
      <c r="A93" s="7">
        <f t="shared" si="3"/>
        <v>12.25</v>
      </c>
      <c r="B93" s="117">
        <v>2.1819999999999999E-2</v>
      </c>
      <c r="C93" s="47">
        <f t="shared" si="0"/>
        <v>6.545999999999999E-2</v>
      </c>
      <c r="D93" s="47">
        <f t="shared" si="1"/>
        <v>1.5893750000000002E-2</v>
      </c>
      <c r="E93" s="47">
        <f t="shared" si="2"/>
        <v>1.5893750000000002E-2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7">
        <f t="shared" si="3"/>
        <v>12.5</v>
      </c>
      <c r="B94" s="117">
        <v>2.2880000000000001E-2</v>
      </c>
      <c r="C94" s="47">
        <f t="shared" si="0"/>
        <v>6.8640000000000007E-2</v>
      </c>
      <c r="D94" s="47">
        <f t="shared" si="1"/>
        <v>1.5893750000000002E-2</v>
      </c>
      <c r="E94" s="47">
        <f t="shared" si="2"/>
        <v>1.5893750000000002E-2</v>
      </c>
      <c r="F94" s="2"/>
      <c r="G94" s="2"/>
      <c r="H94" s="2"/>
      <c r="I94" s="2"/>
      <c r="J94" s="2"/>
      <c r="K94" s="2"/>
      <c r="L94" s="2"/>
      <c r="M94" s="2"/>
      <c r="N94" s="27" t="s">
        <v>73</v>
      </c>
      <c r="O94" s="47">
        <f>SUM(O45:O92)</f>
        <v>0.99999999999999989</v>
      </c>
      <c r="P94" s="7">
        <f>SUM(P45:P92)</f>
        <v>0.79999999999999993</v>
      </c>
      <c r="Q94" s="7">
        <f>SUM(Q45:Q92)</f>
        <v>0.13854808333333335</v>
      </c>
      <c r="R94" s="7">
        <f>SUM(R45:R92)</f>
        <v>0.13854808333333335</v>
      </c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7">
        <f t="shared" si="3"/>
        <v>12.75</v>
      </c>
      <c r="B95" s="117">
        <v>2.368E-2</v>
      </c>
      <c r="C95" s="47">
        <f t="shared" si="0"/>
        <v>7.1039999999999992E-2</v>
      </c>
      <c r="D95" s="47">
        <f t="shared" si="1"/>
        <v>1.5893750000000002E-2</v>
      </c>
      <c r="E95" s="47">
        <f t="shared" si="2"/>
        <v>1.5893750000000002E-2</v>
      </c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7">
        <f t="shared" si="3"/>
        <v>13</v>
      </c>
      <c r="B96" s="117">
        <v>2.7140000000000001E-2</v>
      </c>
      <c r="C96" s="47">
        <f t="shared" si="0"/>
        <v>8.1420000000000006E-2</v>
      </c>
      <c r="D96" s="47">
        <f t="shared" si="1"/>
        <v>1.5893750000000002E-2</v>
      </c>
      <c r="E96" s="47">
        <f t="shared" si="2"/>
        <v>1.5893750000000002E-2</v>
      </c>
      <c r="F96" s="2"/>
      <c r="G96" s="2"/>
      <c r="H96" s="4" t="s">
        <v>63</v>
      </c>
      <c r="I96" s="49">
        <f>I98/$H$18*60</f>
        <v>0.81096000000000001</v>
      </c>
      <c r="J96" s="2" t="s">
        <v>64</v>
      </c>
      <c r="K96" s="2"/>
      <c r="L96" s="2"/>
      <c r="M96" s="2"/>
      <c r="N96" s="35" t="s">
        <v>74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7">
        <f t="shared" si="3"/>
        <v>13.25</v>
      </c>
      <c r="B97" s="117">
        <v>3.5119999999999998E-2</v>
      </c>
      <c r="C97" s="47">
        <f t="shared" si="0"/>
        <v>0.10536</v>
      </c>
      <c r="D97" s="47">
        <f t="shared" si="1"/>
        <v>1.5893750000000002E-2</v>
      </c>
      <c r="E97" s="47">
        <f t="shared" si="2"/>
        <v>1.5893750000000002E-2</v>
      </c>
      <c r="F97" s="2"/>
      <c r="G97" s="2"/>
      <c r="H97" s="2"/>
      <c r="I97" s="37"/>
      <c r="J97" s="2"/>
      <c r="K97" s="2"/>
      <c r="L97" s="2"/>
      <c r="M97" s="2"/>
      <c r="N97" s="2"/>
      <c r="O97" s="2"/>
      <c r="P97" s="4" t="s">
        <v>75</v>
      </c>
      <c r="Q97" s="7">
        <f>P94</f>
        <v>0.79999999999999993</v>
      </c>
      <c r="R97" s="2" t="s">
        <v>41</v>
      </c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7">
        <f t="shared" si="3"/>
        <v>13.5</v>
      </c>
      <c r="B98" s="118">
        <v>6.7580000000000001E-2</v>
      </c>
      <c r="C98" s="26">
        <f t="shared" si="0"/>
        <v>0.20274</v>
      </c>
      <c r="D98" s="47">
        <f t="shared" si="1"/>
        <v>1.5893750000000002E-2</v>
      </c>
      <c r="E98" s="47">
        <f t="shared" si="2"/>
        <v>1.5893750000000002E-2</v>
      </c>
      <c r="F98" s="2"/>
      <c r="G98" s="2"/>
      <c r="H98" s="23" t="s">
        <v>65</v>
      </c>
      <c r="I98" s="49">
        <f>MAX(C45:C116)</f>
        <v>0.20274</v>
      </c>
      <c r="J98" s="2" t="s">
        <v>41</v>
      </c>
      <c r="K98" s="131" t="s">
        <v>49</v>
      </c>
      <c r="L98" s="132">
        <f>C98-I98</f>
        <v>0</v>
      </c>
      <c r="M98" s="62" t="s">
        <v>41</v>
      </c>
      <c r="N98" s="2"/>
      <c r="O98" s="2"/>
      <c r="P98" s="4" t="s">
        <v>76</v>
      </c>
      <c r="Q98" s="7">
        <f>Q94*(1-(0/100))</f>
        <v>0.13854808333333335</v>
      </c>
      <c r="R98" s="2" t="s">
        <v>41</v>
      </c>
      <c r="S98" s="2"/>
      <c r="T98" s="4" t="s">
        <v>77</v>
      </c>
      <c r="U98" s="7">
        <f>Q97-Q98</f>
        <v>0.66145191666666658</v>
      </c>
      <c r="V98" s="2" t="s">
        <v>26</v>
      </c>
      <c r="W98" s="32">
        <f>(U98/$Q$97)*100</f>
        <v>82.681489583333331</v>
      </c>
      <c r="X98" s="2" t="s">
        <v>78</v>
      </c>
      <c r="Y98" s="2"/>
      <c r="Z98" s="2"/>
    </row>
    <row r="99" spans="1:26" ht="12.75" customHeight="1" x14ac:dyDescent="0.25">
      <c r="A99" s="7">
        <f t="shared" si="3"/>
        <v>13.75</v>
      </c>
      <c r="B99" s="117">
        <v>3.8850000000000003E-2</v>
      </c>
      <c r="C99" s="47">
        <f t="shared" si="0"/>
        <v>0.11655000000000001</v>
      </c>
      <c r="D99" s="47">
        <f t="shared" si="1"/>
        <v>1.5893750000000002E-2</v>
      </c>
      <c r="E99" s="47">
        <f t="shared" si="2"/>
        <v>1.5893750000000002E-2</v>
      </c>
      <c r="F99" s="2"/>
      <c r="G99" s="2"/>
      <c r="H99" s="4" t="s">
        <v>66</v>
      </c>
      <c r="I99" s="49">
        <f>SUM(C98:C99)</f>
        <v>0.31929000000000002</v>
      </c>
      <c r="J99" s="2" t="s">
        <v>41</v>
      </c>
      <c r="K99" s="2"/>
      <c r="L99" s="2"/>
      <c r="M99" s="2"/>
      <c r="N99" s="2"/>
      <c r="O99" s="2"/>
      <c r="P99" s="4" t="s">
        <v>79</v>
      </c>
      <c r="Q99" s="7">
        <f>Q34*(1-(0/100))</f>
        <v>0</v>
      </c>
      <c r="R99" s="2" t="s">
        <v>41</v>
      </c>
      <c r="S99" s="2"/>
      <c r="T99" s="4" t="s">
        <v>80</v>
      </c>
      <c r="U99" s="7">
        <f>MAX(0,(Q98-Q99-Q100))</f>
        <v>0</v>
      </c>
      <c r="V99" s="2" t="s">
        <v>26</v>
      </c>
      <c r="W99" s="32">
        <f>(U99/$Q$97)*100</f>
        <v>0</v>
      </c>
      <c r="X99" s="2" t="s">
        <v>78</v>
      </c>
      <c r="Y99" s="2"/>
      <c r="Z99" s="2"/>
    </row>
    <row r="100" spans="1:26" ht="12.75" customHeight="1" x14ac:dyDescent="0.25">
      <c r="A100" s="7">
        <f t="shared" si="3"/>
        <v>14</v>
      </c>
      <c r="B100" s="117">
        <v>3.2460000000000003E-2</v>
      </c>
      <c r="C100" s="47">
        <f t="shared" si="0"/>
        <v>9.7380000000000008E-2</v>
      </c>
      <c r="D100" s="47">
        <f t="shared" si="1"/>
        <v>1.5893750000000002E-2</v>
      </c>
      <c r="E100" s="47">
        <f t="shared" si="2"/>
        <v>1.5893750000000002E-2</v>
      </c>
      <c r="F100" s="2"/>
      <c r="G100" s="2"/>
      <c r="H100" s="4" t="s">
        <v>67</v>
      </c>
      <c r="I100" s="49">
        <f>SUM(C97:C100)</f>
        <v>0.52202999999999999</v>
      </c>
      <c r="J100" s="2" t="s">
        <v>41</v>
      </c>
      <c r="K100" s="2"/>
      <c r="L100" s="2"/>
      <c r="M100" s="2"/>
      <c r="N100" s="2"/>
      <c r="O100" s="2"/>
      <c r="P100" s="4" t="s">
        <v>81</v>
      </c>
      <c r="Q100" s="7">
        <f>R94*(1-(0/100))</f>
        <v>0.13854808333333335</v>
      </c>
      <c r="R100" s="2" t="s">
        <v>41</v>
      </c>
      <c r="S100" s="2"/>
      <c r="T100" s="4" t="s">
        <v>82</v>
      </c>
      <c r="U100" s="7">
        <f>U98+U99</f>
        <v>0.66145191666666658</v>
      </c>
      <c r="V100" s="2" t="s">
        <v>26</v>
      </c>
      <c r="W100" s="32">
        <f>(U100/$Q$97)*100</f>
        <v>82.681489583333331</v>
      </c>
      <c r="X100" s="2" t="s">
        <v>78</v>
      </c>
      <c r="Y100" s="2"/>
      <c r="Z100" s="2"/>
    </row>
    <row r="101" spans="1:26" ht="12.75" customHeight="1" x14ac:dyDescent="0.25">
      <c r="A101" s="7">
        <f t="shared" si="3"/>
        <v>14.25</v>
      </c>
      <c r="B101" s="117">
        <v>2.3939999999999999E-2</v>
      </c>
      <c r="C101" s="47">
        <f t="shared" si="0"/>
        <v>7.1819999999999995E-2</v>
      </c>
      <c r="D101" s="47">
        <f t="shared" si="1"/>
        <v>1.5893750000000002E-2</v>
      </c>
      <c r="E101" s="47">
        <f t="shared" si="2"/>
        <v>1.5893750000000002E-2</v>
      </c>
      <c r="F101" s="2"/>
      <c r="K101" s="2"/>
      <c r="L101" s="2"/>
      <c r="M101" s="2"/>
      <c r="N101" s="2"/>
      <c r="O101" s="2"/>
      <c r="P101" s="23" t="s">
        <v>83</v>
      </c>
      <c r="Q101" s="7">
        <f>Q97-U100</f>
        <v>0.13854808333333335</v>
      </c>
      <c r="R101" s="2" t="s">
        <v>41</v>
      </c>
      <c r="S101" s="2"/>
      <c r="T101" s="4"/>
      <c r="U101" s="7"/>
      <c r="V101" s="2"/>
      <c r="W101" s="32"/>
      <c r="X101" s="2"/>
      <c r="Y101" s="2"/>
      <c r="Z101" s="2"/>
    </row>
    <row r="102" spans="1:26" ht="12.75" customHeight="1" x14ac:dyDescent="0.25">
      <c r="A102" s="7">
        <f t="shared" si="3"/>
        <v>14.5</v>
      </c>
      <c r="B102" s="117">
        <v>2.315E-2</v>
      </c>
      <c r="C102" s="47">
        <f t="shared" si="0"/>
        <v>6.9449999999999998E-2</v>
      </c>
      <c r="D102" s="47">
        <f t="shared" si="1"/>
        <v>1.5893750000000002E-2</v>
      </c>
      <c r="E102" s="47">
        <f t="shared" si="2"/>
        <v>1.5893750000000002E-2</v>
      </c>
      <c r="F102" s="2"/>
      <c r="K102" s="2"/>
      <c r="L102" s="2"/>
      <c r="M102" s="2"/>
    </row>
    <row r="103" spans="1:26" ht="12.75" customHeight="1" x14ac:dyDescent="0.25">
      <c r="A103" s="7">
        <f t="shared" si="3"/>
        <v>14.75</v>
      </c>
      <c r="B103" s="117">
        <v>2.2880000000000001E-2</v>
      </c>
      <c r="C103" s="47">
        <f t="shared" si="0"/>
        <v>6.8640000000000007E-2</v>
      </c>
      <c r="D103" s="47">
        <f t="shared" si="1"/>
        <v>1.5893750000000002E-2</v>
      </c>
      <c r="E103" s="47">
        <f t="shared" si="2"/>
        <v>1.5893750000000002E-2</v>
      </c>
      <c r="F103" s="2"/>
      <c r="G103" s="2"/>
      <c r="H103" s="2"/>
      <c r="I103" s="2"/>
      <c r="J103" s="2"/>
      <c r="K103" s="2"/>
      <c r="L103" s="2"/>
      <c r="M103" s="2"/>
    </row>
    <row r="104" spans="1:26" ht="12.75" customHeight="1" x14ac:dyDescent="0.25">
      <c r="A104" s="7">
        <f t="shared" si="3"/>
        <v>15</v>
      </c>
      <c r="B104" s="117">
        <v>2.2079999999999999E-2</v>
      </c>
      <c r="C104" s="47">
        <f t="shared" si="0"/>
        <v>6.6239999999999993E-2</v>
      </c>
      <c r="D104" s="47">
        <f t="shared" si="1"/>
        <v>1.5893750000000002E-2</v>
      </c>
      <c r="E104" s="47">
        <f t="shared" si="2"/>
        <v>1.5893750000000002E-2</v>
      </c>
      <c r="F104" s="2"/>
      <c r="G104" s="2"/>
      <c r="H104" s="2"/>
      <c r="I104" s="2"/>
      <c r="J104" s="2"/>
      <c r="K104" s="2"/>
      <c r="L104" s="2"/>
      <c r="M104" s="2"/>
    </row>
    <row r="105" spans="1:26" ht="12.75" customHeight="1" x14ac:dyDescent="0.25">
      <c r="A105" s="7">
        <f t="shared" si="3"/>
        <v>15.25</v>
      </c>
      <c r="B105" s="117">
        <v>2.0750000000000001E-2</v>
      </c>
      <c r="C105" s="47">
        <f t="shared" si="0"/>
        <v>6.225E-2</v>
      </c>
      <c r="D105" s="47">
        <f t="shared" si="1"/>
        <v>1.5893750000000002E-2</v>
      </c>
      <c r="E105" s="47">
        <f t="shared" si="2"/>
        <v>1.5893750000000002E-2</v>
      </c>
      <c r="F105" s="2"/>
      <c r="G105" s="2"/>
      <c r="H105" s="2"/>
      <c r="I105" s="2"/>
      <c r="J105" s="2"/>
      <c r="K105" s="2"/>
      <c r="L105" s="2"/>
      <c r="M105" s="2"/>
    </row>
    <row r="106" spans="1:26" ht="12.75" customHeight="1" x14ac:dyDescent="0.25">
      <c r="A106" s="7">
        <f t="shared" si="3"/>
        <v>15.5</v>
      </c>
      <c r="B106" s="117">
        <v>1.9949999999999999E-2</v>
      </c>
      <c r="C106" s="47">
        <f t="shared" si="0"/>
        <v>5.985E-2</v>
      </c>
      <c r="D106" s="47">
        <f t="shared" si="1"/>
        <v>1.5893750000000002E-2</v>
      </c>
      <c r="E106" s="47">
        <f t="shared" si="2"/>
        <v>1.5893750000000002E-2</v>
      </c>
      <c r="F106" s="2"/>
      <c r="G106" s="2"/>
      <c r="H106" s="2"/>
      <c r="I106" s="2"/>
      <c r="J106" s="2"/>
      <c r="K106" s="2"/>
      <c r="L106" s="2"/>
      <c r="M106" s="2"/>
    </row>
    <row r="107" spans="1:26" ht="12.75" customHeight="1" x14ac:dyDescent="0.25">
      <c r="A107" s="7">
        <f t="shared" si="3"/>
        <v>15.75</v>
      </c>
      <c r="B107" s="117">
        <v>1.8089999999999998E-2</v>
      </c>
      <c r="C107" s="47">
        <f t="shared" si="0"/>
        <v>5.4269999999999999E-2</v>
      </c>
      <c r="D107" s="47">
        <f t="shared" si="1"/>
        <v>1.5893750000000002E-2</v>
      </c>
      <c r="E107" s="47">
        <f t="shared" si="2"/>
        <v>1.5893750000000002E-2</v>
      </c>
      <c r="F107" s="2"/>
      <c r="G107" s="2"/>
      <c r="H107" s="2"/>
      <c r="I107" s="2"/>
      <c r="J107" s="2"/>
      <c r="K107" s="2"/>
      <c r="L107" s="2"/>
      <c r="M107" s="2"/>
    </row>
    <row r="108" spans="1:26" ht="12.75" customHeight="1" x14ac:dyDescent="0.25">
      <c r="A108" s="7">
        <f t="shared" si="3"/>
        <v>16</v>
      </c>
      <c r="B108" s="117">
        <v>1.383E-2</v>
      </c>
      <c r="C108" s="47">
        <f t="shared" ref="C108:C116" si="8">B108*$H$19</f>
        <v>4.1489999999999999E-2</v>
      </c>
      <c r="D108" s="47">
        <f t="shared" ref="D108:D116" si="9">MIN(C108,$F$25)</f>
        <v>1.5893750000000002E-2</v>
      </c>
      <c r="E108" s="47">
        <f t="shared" ref="E108:E116" si="10">MIN(D108,$C$28)</f>
        <v>1.5893750000000002E-2</v>
      </c>
      <c r="F108" s="2"/>
      <c r="G108" s="2"/>
      <c r="H108" s="2"/>
      <c r="I108" s="2"/>
      <c r="J108" s="2"/>
      <c r="K108" s="2"/>
      <c r="L108" s="2"/>
      <c r="M108" s="2"/>
    </row>
    <row r="109" spans="1:26" ht="12.75" customHeight="1" x14ac:dyDescent="0.25">
      <c r="A109" s="7">
        <f t="shared" ref="A109:A116" si="11">A108+$J$18</f>
        <v>16.25</v>
      </c>
      <c r="B109" s="117">
        <v>1.1440000000000001E-2</v>
      </c>
      <c r="C109" s="47">
        <f t="shared" si="8"/>
        <v>3.4320000000000003E-2</v>
      </c>
      <c r="D109" s="47">
        <f t="shared" si="9"/>
        <v>1.5893750000000002E-2</v>
      </c>
      <c r="E109" s="47">
        <f t="shared" si="10"/>
        <v>1.5893750000000002E-2</v>
      </c>
      <c r="F109" s="2"/>
      <c r="G109" s="2"/>
      <c r="H109" s="2"/>
      <c r="I109" s="2"/>
      <c r="J109" s="2"/>
      <c r="K109" s="2"/>
      <c r="L109" s="2"/>
      <c r="M109" s="2"/>
    </row>
    <row r="110" spans="1:26" ht="12.75" customHeight="1" x14ac:dyDescent="0.25">
      <c r="A110" s="7">
        <f t="shared" si="11"/>
        <v>16.5</v>
      </c>
      <c r="B110" s="117">
        <v>7.1799999999999998E-3</v>
      </c>
      <c r="C110" s="47">
        <f t="shared" si="8"/>
        <v>2.154E-2</v>
      </c>
      <c r="D110" s="47">
        <f t="shared" si="9"/>
        <v>1.5893750000000002E-2</v>
      </c>
      <c r="E110" s="47">
        <f t="shared" si="10"/>
        <v>1.5893750000000002E-2</v>
      </c>
      <c r="F110" s="2"/>
      <c r="G110" s="2"/>
      <c r="H110" s="2"/>
      <c r="I110" s="2"/>
      <c r="J110" s="2"/>
      <c r="K110" s="2"/>
      <c r="L110" s="2"/>
      <c r="M110" s="2"/>
    </row>
    <row r="111" spans="1:26" ht="12.75" customHeight="1" x14ac:dyDescent="0.25">
      <c r="A111" s="7">
        <f t="shared" si="11"/>
        <v>16.75</v>
      </c>
      <c r="B111" s="117">
        <v>6.9100000000000003E-3</v>
      </c>
      <c r="C111" s="47">
        <f t="shared" si="8"/>
        <v>2.0730000000000002E-2</v>
      </c>
      <c r="D111" s="47">
        <f t="shared" si="9"/>
        <v>1.5893750000000002E-2</v>
      </c>
      <c r="E111" s="47">
        <f t="shared" si="10"/>
        <v>1.5893750000000002E-2</v>
      </c>
      <c r="F111" s="2"/>
      <c r="G111" s="2"/>
      <c r="H111" s="2"/>
      <c r="I111" s="2"/>
      <c r="J111" s="2"/>
      <c r="K111" s="2"/>
      <c r="L111" s="2"/>
      <c r="M111" s="2"/>
    </row>
    <row r="112" spans="1:26" ht="12.75" customHeight="1" x14ac:dyDescent="0.25">
      <c r="A112" s="7">
        <f t="shared" si="11"/>
        <v>17</v>
      </c>
      <c r="B112" s="117">
        <v>6.6499999999999997E-3</v>
      </c>
      <c r="C112" s="47">
        <f t="shared" si="8"/>
        <v>1.9949999999999999E-2</v>
      </c>
      <c r="D112" s="47">
        <f t="shared" si="9"/>
        <v>1.5893750000000002E-2</v>
      </c>
      <c r="E112" s="47">
        <f t="shared" si="10"/>
        <v>1.5893750000000002E-2</v>
      </c>
      <c r="F112" s="2"/>
      <c r="G112" s="2"/>
      <c r="H112" s="2"/>
      <c r="I112" s="2"/>
      <c r="J112" s="2"/>
      <c r="K112" s="2"/>
      <c r="L112" s="2"/>
      <c r="M112" s="2"/>
    </row>
    <row r="113" spans="1:13" ht="12.75" customHeight="1" x14ac:dyDescent="0.25">
      <c r="A113" s="7">
        <f>A112+$J$18</f>
        <v>17.25</v>
      </c>
      <c r="B113" s="117">
        <v>6.3800000000000003E-3</v>
      </c>
      <c r="C113" s="47">
        <f t="shared" si="8"/>
        <v>1.9140000000000001E-2</v>
      </c>
      <c r="D113" s="47">
        <f t="shared" si="9"/>
        <v>1.5893750000000002E-2</v>
      </c>
      <c r="E113" s="47">
        <f t="shared" si="10"/>
        <v>1.5893750000000002E-2</v>
      </c>
      <c r="F113" s="2"/>
      <c r="G113" s="2"/>
      <c r="H113" s="2"/>
      <c r="I113" s="2"/>
      <c r="J113" s="2"/>
      <c r="K113" s="2"/>
      <c r="L113" s="2"/>
      <c r="M113" s="2"/>
    </row>
    <row r="114" spans="1:13" ht="12.75" customHeight="1" x14ac:dyDescent="0.25">
      <c r="A114" s="7">
        <f t="shared" si="11"/>
        <v>17.5</v>
      </c>
      <c r="B114" s="117">
        <v>6.1199999999999996E-3</v>
      </c>
      <c r="C114" s="47">
        <f t="shared" si="8"/>
        <v>1.8359999999999998E-2</v>
      </c>
      <c r="D114" s="47">
        <f t="shared" si="9"/>
        <v>1.5893750000000002E-2</v>
      </c>
      <c r="E114" s="47">
        <f t="shared" si="10"/>
        <v>1.5893750000000002E-2</v>
      </c>
      <c r="F114" s="2"/>
      <c r="G114" s="2" t="s">
        <v>68</v>
      </c>
      <c r="H114" s="2"/>
      <c r="I114" s="2"/>
      <c r="J114" s="2"/>
      <c r="K114" s="2"/>
      <c r="L114" s="2"/>
      <c r="M114" s="2"/>
    </row>
    <row r="115" spans="1:13" ht="12.75" customHeight="1" x14ac:dyDescent="0.25">
      <c r="A115" s="7">
        <f t="shared" si="11"/>
        <v>17.75</v>
      </c>
      <c r="B115" s="117">
        <v>5.8500000000000002E-3</v>
      </c>
      <c r="C115" s="47">
        <f t="shared" si="8"/>
        <v>1.755E-2</v>
      </c>
      <c r="D115" s="47">
        <f t="shared" si="9"/>
        <v>1.5893750000000002E-2</v>
      </c>
      <c r="E115" s="47">
        <f t="shared" si="10"/>
        <v>1.5893750000000002E-2</v>
      </c>
      <c r="F115" s="2"/>
      <c r="G115" s="2"/>
      <c r="H115" s="2"/>
      <c r="I115" s="2"/>
      <c r="J115" s="2"/>
      <c r="K115" s="2"/>
      <c r="L115" s="2"/>
      <c r="M115" s="2"/>
    </row>
    <row r="116" spans="1:13" ht="12.75" customHeight="1" x14ac:dyDescent="0.25">
      <c r="A116" s="7">
        <f t="shared" si="11"/>
        <v>18</v>
      </c>
      <c r="B116" s="119">
        <v>5.5799999999999999E-3</v>
      </c>
      <c r="C116" s="47">
        <f t="shared" si="8"/>
        <v>1.6739999999999998E-2</v>
      </c>
      <c r="D116" s="47">
        <f t="shared" si="9"/>
        <v>1.5893750000000002E-2</v>
      </c>
      <c r="E116" s="47">
        <f t="shared" si="10"/>
        <v>1.5893750000000002E-2</v>
      </c>
      <c r="F116" s="2"/>
      <c r="G116" s="2"/>
      <c r="H116" s="4" t="s">
        <v>69</v>
      </c>
      <c r="I116" s="4" t="s">
        <v>70</v>
      </c>
      <c r="J116" s="47">
        <f>C118-H19</f>
        <v>0</v>
      </c>
      <c r="K116" s="2" t="s">
        <v>41</v>
      </c>
      <c r="L116" s="2"/>
      <c r="M116" s="2"/>
    </row>
    <row r="117" spans="1:13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4" t="s">
        <v>71</v>
      </c>
      <c r="J117" s="47">
        <f>(J116/H19)*100</f>
        <v>0</v>
      </c>
      <c r="K117" s="2" t="s">
        <v>72</v>
      </c>
      <c r="L117" s="2"/>
      <c r="M117" s="2"/>
    </row>
    <row r="118" spans="1:13" ht="12.75" customHeight="1" x14ac:dyDescent="0.25">
      <c r="A118" s="27" t="s">
        <v>73</v>
      </c>
      <c r="B118" s="47">
        <f>SUM(B45:B116)</f>
        <v>1.0000000000000002</v>
      </c>
      <c r="C118" s="7">
        <f>SUM(C45:C116)</f>
        <v>3</v>
      </c>
      <c r="D118" s="7">
        <f>SUM(D45:D116)</f>
        <v>1.1111475000000013</v>
      </c>
      <c r="E118" s="7">
        <f>SUM(E45:E116)</f>
        <v>1.1111475000000013</v>
      </c>
      <c r="F118" s="2"/>
      <c r="G118" s="2"/>
      <c r="H118" s="2"/>
      <c r="I118" s="2"/>
      <c r="J118" s="2"/>
      <c r="K118" s="2"/>
      <c r="L118" s="2"/>
      <c r="M118" s="2"/>
    </row>
    <row r="119" spans="1:13" ht="12.75" customHeight="1" x14ac:dyDescent="0.25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customHeight="1" x14ac:dyDescent="0.25">
      <c r="A121" s="8" t="str">
        <f>$A$1</f>
        <v>[Dam name (owner); Dam Safety file no. ___ ]</v>
      </c>
      <c r="B121" s="10"/>
      <c r="C121" s="10"/>
      <c r="D121" s="10"/>
      <c r="E121" s="10"/>
      <c r="F121" s="10"/>
      <c r="G121" s="10"/>
    </row>
    <row r="122" spans="1:13" ht="12.75" customHeight="1" x14ac:dyDescent="0.25">
      <c r="A122" s="10"/>
      <c r="B122" s="10"/>
      <c r="C122" s="10"/>
      <c r="D122" s="10"/>
      <c r="E122" s="10"/>
      <c r="F122" s="10"/>
      <c r="G122" s="10"/>
    </row>
    <row r="123" spans="1:13" ht="12.75" customHeight="1" x14ac:dyDescent="0.25">
      <c r="A123" s="8" t="str">
        <f>$A$3</f>
        <v xml:space="preserve">Calculate post-fire infiltration rate and CN's for sub-basins in </v>
      </c>
      <c r="B123" s="10"/>
      <c r="C123" s="10"/>
      <c r="D123" s="10"/>
      <c r="E123" s="10"/>
      <c r="G123" s="8" t="str">
        <f>$G$3</f>
        <v>_____________ watershed</v>
      </c>
    </row>
    <row r="124" spans="1:13" ht="12.75" customHeight="1" x14ac:dyDescent="0.25">
      <c r="A124" s="10"/>
      <c r="B124" s="10"/>
      <c r="C124" s="10"/>
      <c r="D124" s="10"/>
      <c r="E124" s="10"/>
      <c r="F124" s="10"/>
      <c r="G124" s="10"/>
      <c r="L124" s="12" t="s">
        <v>164</v>
      </c>
      <c r="M124" s="13">
        <f>M86+1</f>
        <v>4</v>
      </c>
    </row>
    <row r="125" spans="1:13" ht="12.75" customHeight="1" x14ac:dyDescent="0.25">
      <c r="A125" s="10"/>
      <c r="B125" s="11" t="str">
        <f>$B$4</f>
        <v>[name], mo/da/yr</v>
      </c>
      <c r="C125" s="10"/>
      <c r="D125" s="10"/>
      <c r="E125" s="10"/>
      <c r="F125" s="10"/>
      <c r="G125" s="10"/>
      <c r="L125" s="143" t="s">
        <v>165</v>
      </c>
      <c r="M125" s="144">
        <f>$M$4</f>
        <v>7</v>
      </c>
    </row>
    <row r="126" spans="1:13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customHeight="1" x14ac:dyDescent="0.25">
      <c r="A128" s="35" t="s">
        <v>74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customHeight="1" x14ac:dyDescent="0.25">
      <c r="A130" s="2"/>
      <c r="B130" s="2"/>
      <c r="C130" s="4" t="s">
        <v>75</v>
      </c>
      <c r="D130" s="7">
        <f>C118</f>
        <v>3</v>
      </c>
      <c r="E130" s="2" t="s">
        <v>41</v>
      </c>
      <c r="F130" s="2"/>
      <c r="G130" s="2"/>
      <c r="H130" s="2"/>
      <c r="I130" s="2"/>
      <c r="J130" s="2"/>
      <c r="K130" s="2"/>
      <c r="L130" s="2"/>
      <c r="M130" s="2"/>
    </row>
    <row r="131" spans="1:13" ht="12.75" customHeight="1" x14ac:dyDescent="0.25">
      <c r="A131" s="2"/>
      <c r="B131" s="2"/>
      <c r="C131" s="4" t="s">
        <v>76</v>
      </c>
      <c r="D131" s="7">
        <f>D118*(1-(0/100))</f>
        <v>1.1111475000000013</v>
      </c>
      <c r="E131" s="2" t="s">
        <v>41</v>
      </c>
      <c r="F131" s="2"/>
      <c r="G131" s="4" t="s">
        <v>77</v>
      </c>
      <c r="H131" s="7">
        <f>D130-D131</f>
        <v>1.8888524999999987</v>
      </c>
      <c r="I131" s="2" t="s">
        <v>26</v>
      </c>
      <c r="J131" s="32">
        <f>(H131/$D$130)*100</f>
        <v>62.961749999999959</v>
      </c>
      <c r="K131" s="2" t="s">
        <v>78</v>
      </c>
      <c r="L131" s="2"/>
      <c r="M131" s="2"/>
    </row>
    <row r="132" spans="1:13" ht="12.75" customHeight="1" x14ac:dyDescent="0.25">
      <c r="A132" s="2"/>
      <c r="B132" s="2"/>
      <c r="C132" s="4" t="s">
        <v>79</v>
      </c>
      <c r="D132" s="7">
        <f>D33*(1-(0/100))</f>
        <v>0</v>
      </c>
      <c r="E132" s="2" t="s">
        <v>41</v>
      </c>
      <c r="F132" s="2"/>
      <c r="G132" s="4" t="s">
        <v>80</v>
      </c>
      <c r="H132" s="7">
        <f>MAX(0,(D131-D132-D133))</f>
        <v>0</v>
      </c>
      <c r="I132" s="2" t="s">
        <v>26</v>
      </c>
      <c r="J132" s="32">
        <f>(H132/$D$130)*100</f>
        <v>0</v>
      </c>
      <c r="K132" s="2" t="s">
        <v>78</v>
      </c>
      <c r="L132" s="2"/>
      <c r="M132" s="2"/>
    </row>
    <row r="133" spans="1:13" ht="12.75" customHeight="1" x14ac:dyDescent="0.25">
      <c r="A133" s="2"/>
      <c r="B133" s="2"/>
      <c r="C133" s="4" t="s">
        <v>81</v>
      </c>
      <c r="D133" s="7">
        <f>E118*(1-(0/100))</f>
        <v>1.1111475000000013</v>
      </c>
      <c r="E133" s="2" t="s">
        <v>41</v>
      </c>
      <c r="F133" s="2"/>
      <c r="G133" s="4" t="s">
        <v>82</v>
      </c>
      <c r="H133" s="7">
        <f>H131+H132</f>
        <v>1.8888524999999987</v>
      </c>
      <c r="I133" s="2" t="s">
        <v>26</v>
      </c>
      <c r="J133" s="32">
        <f>(H133/$D$130)*100</f>
        <v>62.961749999999959</v>
      </c>
      <c r="K133" s="2" t="s">
        <v>78</v>
      </c>
      <c r="L133" s="2"/>
      <c r="M133" s="2"/>
    </row>
    <row r="134" spans="1:13" ht="12.75" customHeight="1" x14ac:dyDescent="0.25">
      <c r="A134" s="2"/>
      <c r="B134" s="2"/>
      <c r="C134" s="23" t="s">
        <v>83</v>
      </c>
      <c r="D134" s="7">
        <f>D130-H133</f>
        <v>1.1111475000000013</v>
      </c>
      <c r="E134" s="2" t="s">
        <v>41</v>
      </c>
      <c r="F134" s="2"/>
      <c r="G134" s="4"/>
      <c r="H134" s="7"/>
      <c r="I134" s="2"/>
      <c r="J134" s="32"/>
      <c r="K134" s="2"/>
      <c r="L134" s="2"/>
      <c r="M134" s="2"/>
    </row>
  </sheetData>
  <pageMargins left="0.7" right="0.7" top="0.75" bottom="0.75" header="0.3" footer="0.3"/>
  <pageSetup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A2" sqref="A2"/>
    </sheetView>
  </sheetViews>
  <sheetFormatPr defaultColWidth="9" defaultRowHeight="15" customHeight="1" x14ac:dyDescent="0.2"/>
  <cols>
    <col min="1" max="16384" width="9" style="2"/>
  </cols>
  <sheetData>
    <row r="1" spans="1:16" ht="15" customHeight="1" x14ac:dyDescent="0.25">
      <c r="A1" s="8" t="s">
        <v>131</v>
      </c>
      <c r="F1" s="156" t="s">
        <v>178</v>
      </c>
      <c r="I1" s="8" t="s">
        <v>145</v>
      </c>
    </row>
    <row r="4" spans="1:16" ht="15" customHeight="1" x14ac:dyDescent="0.25">
      <c r="A4" s="126" t="s">
        <v>152</v>
      </c>
    </row>
    <row r="5" spans="1:16" ht="15" customHeight="1" x14ac:dyDescent="0.25">
      <c r="A5" s="126" t="s">
        <v>153</v>
      </c>
    </row>
    <row r="6" spans="1:16" ht="15" customHeight="1" x14ac:dyDescent="0.25">
      <c r="A6" s="126" t="s">
        <v>161</v>
      </c>
    </row>
    <row r="7" spans="1:16" ht="15" customHeight="1" x14ac:dyDescent="0.25">
      <c r="A7" s="126"/>
    </row>
    <row r="8" spans="1:16" ht="15" customHeight="1" x14ac:dyDescent="0.2">
      <c r="P8" s="1" t="s">
        <v>143</v>
      </c>
    </row>
    <row r="9" spans="1:16" ht="15" customHeight="1" x14ac:dyDescent="0.2">
      <c r="D9" s="1" t="s">
        <v>135</v>
      </c>
      <c r="G9" s="1" t="s">
        <v>136</v>
      </c>
      <c r="J9" s="1" t="s">
        <v>138</v>
      </c>
      <c r="M9" s="1" t="s">
        <v>140</v>
      </c>
      <c r="P9" s="1" t="s">
        <v>144</v>
      </c>
    </row>
    <row r="10" spans="1:16" ht="15" customHeight="1" x14ac:dyDescent="0.2">
      <c r="A10" s="2" t="s">
        <v>132</v>
      </c>
      <c r="C10" s="110">
        <v>14</v>
      </c>
      <c r="D10" s="1" t="s">
        <v>136</v>
      </c>
      <c r="F10" s="110">
        <v>147</v>
      </c>
      <c r="G10" s="1" t="s">
        <v>137</v>
      </c>
      <c r="I10" s="110">
        <v>13</v>
      </c>
      <c r="J10" s="2" t="s">
        <v>139</v>
      </c>
      <c r="L10" s="110">
        <v>77</v>
      </c>
      <c r="M10" s="1" t="s">
        <v>141</v>
      </c>
      <c r="O10" s="110">
        <v>7</v>
      </c>
      <c r="P10" s="1" t="s">
        <v>142</v>
      </c>
    </row>
    <row r="11" spans="1:16" ht="15" customHeight="1" x14ac:dyDescent="0.2">
      <c r="C11" s="110"/>
      <c r="D11" s="1"/>
      <c r="F11" s="110"/>
      <c r="G11" s="1"/>
      <c r="I11" s="110"/>
      <c r="L11" s="5"/>
      <c r="O11" s="5"/>
    </row>
    <row r="12" spans="1:16" ht="15" customHeight="1" x14ac:dyDescent="0.2">
      <c r="A12" s="2" t="s">
        <v>133</v>
      </c>
      <c r="C12" s="1" t="s">
        <v>122</v>
      </c>
      <c r="D12" s="1" t="s">
        <v>123</v>
      </c>
      <c r="F12" s="1" t="s">
        <v>122</v>
      </c>
      <c r="G12" s="1" t="s">
        <v>123</v>
      </c>
      <c r="I12" s="1" t="s">
        <v>122</v>
      </c>
      <c r="J12" s="1" t="s">
        <v>123</v>
      </c>
      <c r="L12" s="1" t="s">
        <v>122</v>
      </c>
      <c r="M12" s="1" t="s">
        <v>123</v>
      </c>
      <c r="O12" s="1" t="s">
        <v>122</v>
      </c>
      <c r="P12" s="1" t="s">
        <v>123</v>
      </c>
    </row>
    <row r="13" spans="1:16" ht="15" customHeight="1" x14ac:dyDescent="0.2">
      <c r="A13" s="2" t="s">
        <v>24</v>
      </c>
      <c r="C13" s="1">
        <v>11</v>
      </c>
      <c r="D13" s="1">
        <v>6</v>
      </c>
      <c r="F13" s="1">
        <v>12</v>
      </c>
      <c r="G13" s="1">
        <v>6</v>
      </c>
      <c r="I13" s="1">
        <v>13</v>
      </c>
      <c r="J13" s="1">
        <v>6</v>
      </c>
      <c r="L13" s="1">
        <v>12</v>
      </c>
      <c r="M13" s="1">
        <v>7</v>
      </c>
      <c r="O13" s="1">
        <v>12</v>
      </c>
      <c r="P13" s="1">
        <v>7</v>
      </c>
    </row>
    <row r="15" spans="1:16" ht="15" customHeight="1" x14ac:dyDescent="0.2">
      <c r="A15" s="3" t="s">
        <v>134</v>
      </c>
      <c r="C15" s="111">
        <v>0</v>
      </c>
      <c r="D15" s="111">
        <v>0</v>
      </c>
      <c r="E15" s="5"/>
      <c r="F15" s="111">
        <v>0</v>
      </c>
      <c r="G15" s="111">
        <v>0</v>
      </c>
      <c r="H15" s="5"/>
      <c r="I15" s="111">
        <v>0</v>
      </c>
      <c r="J15" s="111">
        <v>0</v>
      </c>
      <c r="K15" s="5"/>
      <c r="L15" s="111">
        <v>0</v>
      </c>
      <c r="M15" s="111">
        <v>0</v>
      </c>
      <c r="N15" s="5"/>
      <c r="O15" s="111">
        <v>0</v>
      </c>
      <c r="P15" s="151">
        <v>0</v>
      </c>
    </row>
    <row r="16" spans="1:16" ht="15" customHeight="1" x14ac:dyDescent="0.2">
      <c r="C16" s="112">
        <v>2.1199999999999999E-3</v>
      </c>
      <c r="D16" s="112">
        <v>3.6600000000000001E-3</v>
      </c>
      <c r="E16" s="5"/>
      <c r="F16" s="112">
        <v>1.9300000000000001E-3</v>
      </c>
      <c r="G16" s="112">
        <v>3.6600000000000001E-3</v>
      </c>
      <c r="H16" s="5"/>
      <c r="I16" s="112">
        <v>3.3700000000000002E-3</v>
      </c>
      <c r="J16" s="112">
        <v>3.6600000000000001E-3</v>
      </c>
      <c r="K16" s="5"/>
      <c r="L16" s="112">
        <v>1.9300000000000001E-3</v>
      </c>
      <c r="M16" s="112">
        <v>9.6000000000000002E-4</v>
      </c>
      <c r="N16" s="5"/>
      <c r="O16" s="112">
        <v>1.9300000000000001E-3</v>
      </c>
      <c r="P16" s="152">
        <v>9.6000000000000002E-4</v>
      </c>
    </row>
    <row r="17" spans="3:16" ht="15" customHeight="1" x14ac:dyDescent="0.2">
      <c r="C17" s="112">
        <v>2.66E-3</v>
      </c>
      <c r="D17" s="112">
        <v>8.2400000000000008E-3</v>
      </c>
      <c r="E17" s="5"/>
      <c r="F17" s="112">
        <v>3.2200000000000002E-3</v>
      </c>
      <c r="G17" s="112">
        <v>8.2400000000000008E-3</v>
      </c>
      <c r="H17" s="5"/>
      <c r="I17" s="112">
        <v>4.2900000000000004E-3</v>
      </c>
      <c r="J17" s="112">
        <v>8.2400000000000008E-3</v>
      </c>
      <c r="K17" s="5"/>
      <c r="L17" s="112">
        <v>3.2200000000000002E-3</v>
      </c>
      <c r="M17" s="112">
        <v>3.1800000000000001E-3</v>
      </c>
      <c r="N17" s="5"/>
      <c r="O17" s="112">
        <v>3.2200000000000002E-3</v>
      </c>
      <c r="P17" s="152">
        <v>3.1800000000000001E-3</v>
      </c>
    </row>
    <row r="18" spans="3:16" ht="15" customHeight="1" x14ac:dyDescent="0.2">
      <c r="C18" s="112">
        <v>3.1900000000000001E-3</v>
      </c>
      <c r="D18" s="112">
        <v>1.099E-2</v>
      </c>
      <c r="E18" s="5"/>
      <c r="F18" s="112">
        <v>4.5100000000000001E-3</v>
      </c>
      <c r="G18" s="112">
        <v>1.099E-2</v>
      </c>
      <c r="H18" s="5"/>
      <c r="I18" s="112">
        <v>5.2100000000000002E-3</v>
      </c>
      <c r="J18" s="112">
        <v>1.099E-2</v>
      </c>
      <c r="K18" s="5"/>
      <c r="L18" s="112">
        <v>4.5100000000000001E-3</v>
      </c>
      <c r="M18" s="112">
        <v>9.6600000000000002E-3</v>
      </c>
      <c r="N18" s="5"/>
      <c r="O18" s="112">
        <v>4.5100000000000001E-3</v>
      </c>
      <c r="P18" s="152">
        <v>9.6600000000000002E-3</v>
      </c>
    </row>
    <row r="19" spans="3:16" ht="15" customHeight="1" x14ac:dyDescent="0.2">
      <c r="C19" s="112">
        <v>3.7200000000000002E-3</v>
      </c>
      <c r="D19" s="112">
        <v>1.38E-2</v>
      </c>
      <c r="E19" s="5"/>
      <c r="F19" s="112">
        <v>5.7999999999999996E-3</v>
      </c>
      <c r="G19" s="112">
        <v>1.38E-2</v>
      </c>
      <c r="H19" s="5"/>
      <c r="I19" s="112">
        <v>6.1399999999999996E-3</v>
      </c>
      <c r="J19" s="112">
        <v>1.38E-2</v>
      </c>
      <c r="K19" s="5"/>
      <c r="L19" s="112">
        <v>5.7999999999999996E-3</v>
      </c>
      <c r="M19" s="112">
        <v>1.456E-2</v>
      </c>
      <c r="N19" s="5"/>
      <c r="O19" s="112">
        <v>5.7999999999999996E-3</v>
      </c>
      <c r="P19" s="152">
        <v>1.456E-2</v>
      </c>
    </row>
    <row r="20" spans="3:16" ht="15" customHeight="1" x14ac:dyDescent="0.2">
      <c r="C20" s="112">
        <v>4.2500000000000003E-3</v>
      </c>
      <c r="D20" s="112">
        <v>1.8350000000000002E-2</v>
      </c>
      <c r="E20" s="5"/>
      <c r="F20" s="112">
        <v>7.0800000000000004E-3</v>
      </c>
      <c r="G20" s="112">
        <v>1.8350000000000002E-2</v>
      </c>
      <c r="H20" s="5"/>
      <c r="I20" s="112">
        <v>7.3600000000000002E-3</v>
      </c>
      <c r="J20" s="112">
        <v>1.8350000000000002E-2</v>
      </c>
      <c r="K20" s="5"/>
      <c r="L20" s="112">
        <v>7.0800000000000004E-3</v>
      </c>
      <c r="M20" s="112">
        <v>5.4999999999999997E-3</v>
      </c>
      <c r="N20" s="5"/>
      <c r="O20" s="112">
        <v>7.0800000000000004E-3</v>
      </c>
      <c r="P20" s="152">
        <v>5.4999999999999997E-3</v>
      </c>
    </row>
    <row r="21" spans="3:16" ht="15" customHeight="1" x14ac:dyDescent="0.2">
      <c r="C21" s="112">
        <v>4.7800000000000004E-3</v>
      </c>
      <c r="D21" s="112">
        <v>1.38E-2</v>
      </c>
      <c r="E21" s="5"/>
      <c r="F21" s="112">
        <v>8.3700000000000007E-3</v>
      </c>
      <c r="G21" s="112">
        <v>1.38E-2</v>
      </c>
      <c r="H21" s="5"/>
      <c r="I21" s="112">
        <v>8.6E-3</v>
      </c>
      <c r="J21" s="112">
        <v>1.38E-2</v>
      </c>
      <c r="K21" s="5"/>
      <c r="L21" s="112">
        <v>8.3700000000000007E-3</v>
      </c>
      <c r="M21" s="112">
        <v>0</v>
      </c>
      <c r="N21" s="5"/>
      <c r="O21" s="112">
        <v>8.3700000000000007E-3</v>
      </c>
      <c r="P21" s="152">
        <v>0</v>
      </c>
    </row>
    <row r="22" spans="3:16" ht="15" customHeight="1" x14ac:dyDescent="0.2">
      <c r="C22" s="112">
        <v>5.3200000000000001E-3</v>
      </c>
      <c r="D22" s="112">
        <v>8.2400000000000008E-3</v>
      </c>
      <c r="E22" s="5"/>
      <c r="F22" s="112">
        <v>9.6600000000000002E-3</v>
      </c>
      <c r="G22" s="112">
        <v>8.2400000000000008E-3</v>
      </c>
      <c r="H22" s="5"/>
      <c r="I22" s="112">
        <v>9.8200000000000006E-3</v>
      </c>
      <c r="J22" s="112">
        <v>8.2400000000000008E-3</v>
      </c>
      <c r="K22" s="5"/>
      <c r="L22" s="112">
        <v>9.6600000000000002E-3</v>
      </c>
      <c r="M22" s="112">
        <v>0</v>
      </c>
      <c r="N22" s="5"/>
      <c r="O22" s="112">
        <v>9.6600000000000002E-3</v>
      </c>
      <c r="P22" s="152">
        <v>0</v>
      </c>
    </row>
    <row r="23" spans="3:16" ht="15" customHeight="1" x14ac:dyDescent="0.2">
      <c r="C23" s="112">
        <v>5.8500000000000002E-3</v>
      </c>
      <c r="D23" s="112">
        <v>4.5799999999999999E-3</v>
      </c>
      <c r="E23" s="5"/>
      <c r="F23" s="112">
        <v>1.095E-2</v>
      </c>
      <c r="G23" s="112">
        <v>4.5799999999999999E-3</v>
      </c>
      <c r="H23" s="5"/>
      <c r="I23" s="112">
        <v>1.1050000000000001E-2</v>
      </c>
      <c r="J23" s="112">
        <v>4.5799999999999999E-3</v>
      </c>
      <c r="K23" s="5"/>
      <c r="L23" s="112">
        <v>1.095E-2</v>
      </c>
      <c r="M23" s="112">
        <v>0</v>
      </c>
      <c r="N23" s="5"/>
      <c r="O23" s="112">
        <v>1.095E-2</v>
      </c>
      <c r="P23" s="152">
        <v>0</v>
      </c>
    </row>
    <row r="24" spans="3:16" ht="15" customHeight="1" x14ac:dyDescent="0.2">
      <c r="C24" s="112">
        <v>6.3800000000000003E-3</v>
      </c>
      <c r="D24" s="112">
        <v>1.83E-3</v>
      </c>
      <c r="E24" s="5"/>
      <c r="F24" s="112">
        <v>1.2239999999999999E-2</v>
      </c>
      <c r="G24" s="112">
        <v>1.83E-3</v>
      </c>
      <c r="H24" s="5"/>
      <c r="I24" s="112">
        <v>1.2579999999999999E-2</v>
      </c>
      <c r="J24" s="112">
        <v>1.83E-3</v>
      </c>
      <c r="K24" s="5"/>
      <c r="L24" s="112">
        <v>1.2239999999999999E-2</v>
      </c>
      <c r="M24" s="112">
        <v>0</v>
      </c>
      <c r="N24" s="5"/>
      <c r="O24" s="112">
        <v>1.2239999999999999E-2</v>
      </c>
      <c r="P24" s="152">
        <v>0</v>
      </c>
    </row>
    <row r="25" spans="3:16" ht="15" customHeight="1" x14ac:dyDescent="0.2">
      <c r="C25" s="112">
        <v>6.9100000000000003E-3</v>
      </c>
      <c r="D25" s="112">
        <v>0</v>
      </c>
      <c r="E25" s="5"/>
      <c r="F25" s="112">
        <v>1.353E-2</v>
      </c>
      <c r="G25" s="112">
        <v>0</v>
      </c>
      <c r="H25" s="5"/>
      <c r="I25" s="112">
        <v>1.4120000000000001E-2</v>
      </c>
      <c r="J25" s="112">
        <v>0</v>
      </c>
      <c r="K25" s="5"/>
      <c r="L25" s="112">
        <v>1.353E-2</v>
      </c>
      <c r="M25" s="112">
        <v>0</v>
      </c>
      <c r="N25" s="5"/>
      <c r="O25" s="112">
        <v>1.353E-2</v>
      </c>
      <c r="P25" s="152">
        <v>0</v>
      </c>
    </row>
    <row r="26" spans="3:16" ht="15" customHeight="1" x14ac:dyDescent="0.2">
      <c r="C26" s="112">
        <v>7.45E-3</v>
      </c>
      <c r="D26" s="112">
        <v>0</v>
      </c>
      <c r="E26" s="5"/>
      <c r="F26" s="112">
        <v>1.482E-2</v>
      </c>
      <c r="G26" s="112">
        <v>0</v>
      </c>
      <c r="H26" s="5"/>
      <c r="I26" s="112">
        <v>1.5650000000000001E-2</v>
      </c>
      <c r="J26" s="112">
        <v>0</v>
      </c>
      <c r="K26" s="5"/>
      <c r="L26" s="112">
        <v>1.482E-2</v>
      </c>
      <c r="M26" s="112">
        <v>0</v>
      </c>
      <c r="N26" s="5"/>
      <c r="O26" s="112">
        <v>1.482E-2</v>
      </c>
      <c r="P26" s="152">
        <v>0</v>
      </c>
    </row>
    <row r="27" spans="3:16" ht="15" customHeight="1" x14ac:dyDescent="0.2">
      <c r="C27" s="112">
        <v>7.9799999999999992E-3</v>
      </c>
      <c r="D27" s="112">
        <v>0</v>
      </c>
      <c r="E27" s="5"/>
      <c r="F27" s="112">
        <v>1.643E-2</v>
      </c>
      <c r="G27" s="112">
        <v>0</v>
      </c>
      <c r="H27" s="5"/>
      <c r="I27" s="112">
        <v>1.7500000000000002E-2</v>
      </c>
      <c r="J27" s="112">
        <v>0</v>
      </c>
      <c r="K27" s="5"/>
      <c r="L27" s="112">
        <v>1.643E-2</v>
      </c>
      <c r="M27" s="112">
        <v>0</v>
      </c>
      <c r="N27" s="5"/>
      <c r="O27" s="112">
        <v>1.643E-2</v>
      </c>
      <c r="P27" s="152">
        <v>0</v>
      </c>
    </row>
    <row r="28" spans="3:16" ht="15" customHeight="1" x14ac:dyDescent="0.2">
      <c r="C28" s="112">
        <v>8.5100000000000002E-3</v>
      </c>
      <c r="D28" s="112">
        <v>0</v>
      </c>
      <c r="E28" s="5"/>
      <c r="F28" s="112">
        <v>1.8149999999999999E-2</v>
      </c>
      <c r="G28" s="112">
        <v>0</v>
      </c>
      <c r="H28" s="5"/>
      <c r="I28" s="112">
        <v>1.95E-2</v>
      </c>
      <c r="J28" s="112">
        <v>0</v>
      </c>
      <c r="K28" s="5"/>
      <c r="L28" s="112">
        <v>1.8149999999999999E-2</v>
      </c>
      <c r="M28" s="112">
        <v>0</v>
      </c>
      <c r="N28" s="5"/>
      <c r="O28" s="112">
        <v>1.8149999999999999E-2</v>
      </c>
      <c r="P28" s="152">
        <v>0</v>
      </c>
    </row>
    <row r="29" spans="3:16" ht="15" customHeight="1" x14ac:dyDescent="0.2">
      <c r="C29" s="112">
        <v>9.0399999999999994E-3</v>
      </c>
      <c r="D29" s="115">
        <v>0</v>
      </c>
      <c r="E29" s="5"/>
      <c r="F29" s="112">
        <v>2.0080000000000001E-2</v>
      </c>
      <c r="G29" s="115">
        <v>0</v>
      </c>
      <c r="H29" s="5"/>
      <c r="I29" s="112">
        <v>2.155E-2</v>
      </c>
      <c r="J29" s="115">
        <v>0</v>
      </c>
      <c r="K29" s="5"/>
      <c r="L29" s="112">
        <v>2.0080000000000001E-2</v>
      </c>
      <c r="M29" s="115">
        <v>0</v>
      </c>
      <c r="N29" s="5"/>
      <c r="O29" s="112">
        <v>2.0080000000000001E-2</v>
      </c>
      <c r="P29" s="153">
        <v>0</v>
      </c>
    </row>
    <row r="30" spans="3:16" ht="15" customHeight="1" x14ac:dyDescent="0.2">
      <c r="C30" s="112">
        <v>9.5700000000000004E-3</v>
      </c>
      <c r="D30" s="112">
        <v>0</v>
      </c>
      <c r="E30" s="5"/>
      <c r="F30" s="112">
        <v>1.8149999999999999E-2</v>
      </c>
      <c r="G30" s="112">
        <v>0</v>
      </c>
      <c r="H30" s="5"/>
      <c r="I30" s="112">
        <v>1.95E-2</v>
      </c>
      <c r="J30" s="112">
        <v>0</v>
      </c>
      <c r="K30" s="5"/>
      <c r="L30" s="112">
        <v>1.8149999999999999E-2</v>
      </c>
      <c r="M30" s="112">
        <v>0</v>
      </c>
      <c r="N30" s="5"/>
      <c r="O30" s="112">
        <v>1.8149999999999999E-2</v>
      </c>
      <c r="P30" s="152">
        <v>0</v>
      </c>
    </row>
    <row r="31" spans="3:16" ht="15" customHeight="1" x14ac:dyDescent="0.2">
      <c r="C31" s="112">
        <v>1.0109999999999999E-2</v>
      </c>
      <c r="D31" s="112">
        <v>5.9500000000000004E-3</v>
      </c>
      <c r="E31" s="5"/>
      <c r="F31" s="112">
        <v>1.643E-2</v>
      </c>
      <c r="G31" s="112">
        <v>5.9500000000000004E-3</v>
      </c>
      <c r="H31" s="5"/>
      <c r="I31" s="112">
        <v>1.8110000000000001E-2</v>
      </c>
      <c r="J31" s="112">
        <v>5.9500000000000004E-3</v>
      </c>
      <c r="K31" s="5"/>
      <c r="L31" s="112">
        <v>1.643E-2</v>
      </c>
      <c r="M31" s="112">
        <v>0</v>
      </c>
      <c r="N31" s="5"/>
      <c r="O31" s="112">
        <v>1.643E-2</v>
      </c>
      <c r="P31" s="152">
        <v>0</v>
      </c>
    </row>
    <row r="32" spans="3:16" ht="15" customHeight="1" x14ac:dyDescent="0.2">
      <c r="C32" s="112">
        <v>1.064E-2</v>
      </c>
      <c r="D32" s="112">
        <v>1.2829999999999999E-2</v>
      </c>
      <c r="E32" s="5"/>
      <c r="F32" s="112">
        <v>1.482E-2</v>
      </c>
      <c r="G32" s="112">
        <v>1.2829999999999999E-2</v>
      </c>
      <c r="H32" s="5"/>
      <c r="I32" s="112">
        <v>1.6879999999999999E-2</v>
      </c>
      <c r="J32" s="112">
        <v>1.2829999999999999E-2</v>
      </c>
      <c r="K32" s="5"/>
      <c r="L32" s="112">
        <v>1.482E-2</v>
      </c>
      <c r="M32" s="112">
        <v>0</v>
      </c>
      <c r="N32" s="5"/>
      <c r="O32" s="112">
        <v>1.482E-2</v>
      </c>
      <c r="P32" s="152">
        <v>0</v>
      </c>
    </row>
    <row r="33" spans="3:16" ht="15" customHeight="1" x14ac:dyDescent="0.2">
      <c r="C33" s="112">
        <v>1.1169999999999999E-2</v>
      </c>
      <c r="D33" s="112">
        <v>1.9890000000000001E-2</v>
      </c>
      <c r="E33" s="5"/>
      <c r="F33" s="112">
        <v>1.353E-2</v>
      </c>
      <c r="G33" s="112">
        <v>1.9890000000000001E-2</v>
      </c>
      <c r="H33" s="5"/>
      <c r="I33" s="112">
        <v>1.5650000000000001E-2</v>
      </c>
      <c r="J33" s="112">
        <v>1.9890000000000001E-2</v>
      </c>
      <c r="K33" s="5"/>
      <c r="L33" s="112">
        <v>1.353E-2</v>
      </c>
      <c r="M33" s="112">
        <v>0</v>
      </c>
      <c r="N33" s="5"/>
      <c r="O33" s="112">
        <v>1.353E-2</v>
      </c>
      <c r="P33" s="152">
        <v>0</v>
      </c>
    </row>
    <row r="34" spans="3:16" ht="15" customHeight="1" x14ac:dyDescent="0.2">
      <c r="C34" s="112">
        <v>1.17E-2</v>
      </c>
      <c r="D34" s="112">
        <v>2.181E-2</v>
      </c>
      <c r="E34" s="5"/>
      <c r="F34" s="112">
        <v>1.256E-2</v>
      </c>
      <c r="G34" s="112">
        <v>2.181E-2</v>
      </c>
      <c r="H34" s="5"/>
      <c r="I34" s="112">
        <v>1.443E-2</v>
      </c>
      <c r="J34" s="112">
        <v>2.181E-2</v>
      </c>
      <c r="K34" s="5"/>
      <c r="L34" s="112">
        <v>1.256E-2</v>
      </c>
      <c r="M34" s="112">
        <v>6.7600000000000004E-3</v>
      </c>
      <c r="N34" s="5"/>
      <c r="O34" s="112">
        <v>1.256E-2</v>
      </c>
      <c r="P34" s="152">
        <v>6.7600000000000004E-3</v>
      </c>
    </row>
    <row r="35" spans="3:16" ht="15" customHeight="1" x14ac:dyDescent="0.2">
      <c r="C35" s="112">
        <v>1.2239999999999999E-2</v>
      </c>
      <c r="D35" s="112">
        <v>2.9329999999999998E-2</v>
      </c>
      <c r="E35" s="5"/>
      <c r="F35" s="112">
        <v>1.1599999999999999E-2</v>
      </c>
      <c r="G35" s="112">
        <v>2.9329999999999998E-2</v>
      </c>
      <c r="H35" s="5"/>
      <c r="I35" s="112">
        <v>1.32E-2</v>
      </c>
      <c r="J35" s="112">
        <v>2.9329999999999998E-2</v>
      </c>
      <c r="K35" s="5"/>
      <c r="L35" s="112">
        <v>1.1599999999999999E-2</v>
      </c>
      <c r="M35" s="112">
        <v>2.3380000000000001E-2</v>
      </c>
      <c r="N35" s="5"/>
      <c r="O35" s="112">
        <v>1.1599999999999999E-2</v>
      </c>
      <c r="P35" s="152">
        <v>2.3380000000000001E-2</v>
      </c>
    </row>
    <row r="36" spans="3:16" ht="15" customHeight="1" x14ac:dyDescent="0.2">
      <c r="C36" s="112">
        <v>1.277E-2</v>
      </c>
      <c r="D36" s="112">
        <v>4.7660000000000001E-2</v>
      </c>
      <c r="E36" s="5"/>
      <c r="F36" s="112">
        <v>1.0630000000000001E-2</v>
      </c>
      <c r="G36" s="112">
        <v>4.7660000000000001E-2</v>
      </c>
      <c r="H36" s="5"/>
      <c r="I36" s="112">
        <v>1.197E-2</v>
      </c>
      <c r="J36" s="112">
        <v>4.7660000000000001E-2</v>
      </c>
      <c r="K36" s="5"/>
      <c r="L36" s="112">
        <v>1.0630000000000001E-2</v>
      </c>
      <c r="M36" s="112">
        <v>5.246E-2</v>
      </c>
      <c r="N36" s="5"/>
      <c r="O36" s="112">
        <v>1.0630000000000001E-2</v>
      </c>
      <c r="P36" s="152">
        <v>5.246E-2</v>
      </c>
    </row>
    <row r="37" spans="3:16" ht="15" customHeight="1" x14ac:dyDescent="0.2">
      <c r="C37" s="112">
        <v>1.3299999999999999E-2</v>
      </c>
      <c r="D37" s="112">
        <v>5.5910000000000001E-2</v>
      </c>
      <c r="E37" s="5"/>
      <c r="F37" s="112">
        <v>9.6600000000000002E-3</v>
      </c>
      <c r="G37" s="112">
        <v>5.5910000000000001E-2</v>
      </c>
      <c r="H37" s="5"/>
      <c r="I37" s="112">
        <v>1.074E-2</v>
      </c>
      <c r="J37" s="112">
        <v>5.5910000000000001E-2</v>
      </c>
      <c r="K37" s="5"/>
      <c r="L37" s="112">
        <v>9.6600000000000002E-3</v>
      </c>
      <c r="M37" s="112">
        <v>7.4389999999999998E-2</v>
      </c>
      <c r="N37" s="5"/>
      <c r="O37" s="112">
        <v>9.6600000000000002E-3</v>
      </c>
      <c r="P37" s="152">
        <v>7.4389999999999998E-2</v>
      </c>
    </row>
    <row r="38" spans="3:16" ht="15" customHeight="1" x14ac:dyDescent="0.2">
      <c r="C38" s="112">
        <v>1.436E-2</v>
      </c>
      <c r="D38" s="112">
        <v>0.11824</v>
      </c>
      <c r="E38" s="5"/>
      <c r="F38" s="112">
        <v>9.0200000000000002E-3</v>
      </c>
      <c r="G38" s="112">
        <v>0.11824</v>
      </c>
      <c r="H38" s="5"/>
      <c r="I38" s="112">
        <v>9.5099999999999994E-3</v>
      </c>
      <c r="J38" s="112">
        <v>0.11824</v>
      </c>
      <c r="K38" s="5"/>
      <c r="L38" s="112">
        <v>9.0200000000000002E-3</v>
      </c>
      <c r="M38" s="112">
        <v>0.11304</v>
      </c>
      <c r="N38" s="5"/>
      <c r="O38" s="112">
        <v>9.0200000000000002E-3</v>
      </c>
      <c r="P38" s="152">
        <v>0.11304</v>
      </c>
    </row>
    <row r="39" spans="3:16" ht="15" customHeight="1" x14ac:dyDescent="0.2">
      <c r="C39" s="112">
        <v>1.5959999999999998E-2</v>
      </c>
      <c r="D39" s="113">
        <v>0.24931</v>
      </c>
      <c r="E39" s="5"/>
      <c r="F39" s="112">
        <v>8.3700000000000007E-3</v>
      </c>
      <c r="G39" s="113">
        <v>0.24931</v>
      </c>
      <c r="H39" s="5"/>
      <c r="I39" s="112">
        <v>8.2799999999999992E-3</v>
      </c>
      <c r="J39" s="113">
        <v>0.24931</v>
      </c>
      <c r="K39" s="5"/>
      <c r="L39" s="112">
        <v>8.3700000000000007E-3</v>
      </c>
      <c r="M39" s="113">
        <v>0.29177999999999998</v>
      </c>
      <c r="N39" s="5"/>
      <c r="O39" s="112">
        <v>8.3700000000000007E-3</v>
      </c>
      <c r="P39" s="154">
        <v>0.29177999999999998</v>
      </c>
    </row>
    <row r="40" spans="3:16" ht="15" customHeight="1" x14ac:dyDescent="0.2">
      <c r="C40" s="112">
        <v>1.8089999999999998E-2</v>
      </c>
      <c r="D40" s="112">
        <v>0.15032000000000001</v>
      </c>
      <c r="E40" s="5"/>
      <c r="F40" s="112">
        <v>7.7299999999999999E-3</v>
      </c>
      <c r="G40" s="112">
        <v>0.15032000000000001</v>
      </c>
      <c r="H40" s="5"/>
      <c r="I40" s="112">
        <v>7.0600000000000003E-3</v>
      </c>
      <c r="J40" s="112">
        <v>0.15032000000000001</v>
      </c>
      <c r="K40" s="5"/>
      <c r="L40" s="112">
        <v>7.7299999999999999E-3</v>
      </c>
      <c r="M40" s="112">
        <v>0.22222</v>
      </c>
      <c r="N40" s="5"/>
      <c r="O40" s="112">
        <v>7.7299999999999999E-3</v>
      </c>
      <c r="P40" s="152">
        <v>0.22222</v>
      </c>
    </row>
    <row r="41" spans="3:16" ht="15" customHeight="1" x14ac:dyDescent="0.2">
      <c r="C41" s="112">
        <v>2.085E-2</v>
      </c>
      <c r="D41" s="112">
        <v>5.5910000000000001E-2</v>
      </c>
      <c r="E41" s="5"/>
      <c r="F41" s="112">
        <v>7.0800000000000004E-3</v>
      </c>
      <c r="G41" s="112">
        <v>5.5910000000000001E-2</v>
      </c>
      <c r="H41" s="5"/>
      <c r="I41" s="112">
        <v>5.8300000000000001E-3</v>
      </c>
      <c r="J41" s="112">
        <v>5.5910000000000001E-2</v>
      </c>
      <c r="K41" s="5"/>
      <c r="L41" s="112">
        <v>7.0800000000000004E-3</v>
      </c>
      <c r="M41" s="112">
        <v>7.8259999999999996E-2</v>
      </c>
      <c r="N41" s="5"/>
      <c r="O41" s="112">
        <v>7.0800000000000004E-3</v>
      </c>
      <c r="P41" s="152">
        <v>7.8259999999999996E-2</v>
      </c>
    </row>
    <row r="42" spans="3:16" ht="15" customHeight="1" x14ac:dyDescent="0.2">
      <c r="C42" s="112">
        <v>2.41E-2</v>
      </c>
      <c r="D42" s="112">
        <v>3.6839999999999998E-2</v>
      </c>
      <c r="E42" s="5"/>
      <c r="F42" s="112">
        <v>7.7299999999999999E-3</v>
      </c>
      <c r="G42" s="112">
        <v>3.6839999999999998E-2</v>
      </c>
      <c r="H42" s="5"/>
      <c r="I42" s="112">
        <v>5.5199999999999997E-3</v>
      </c>
      <c r="J42" s="112">
        <v>3.6839999999999998E-2</v>
      </c>
      <c r="K42" s="5"/>
      <c r="L42" s="112">
        <v>7.7299999999999999E-3</v>
      </c>
      <c r="M42" s="112">
        <v>6.5699999999999995E-2</v>
      </c>
      <c r="N42" s="5"/>
      <c r="O42" s="112">
        <v>7.7299999999999999E-3</v>
      </c>
      <c r="P42" s="152">
        <v>6.5699999999999995E-2</v>
      </c>
    </row>
    <row r="43" spans="3:16" ht="15" customHeight="1" x14ac:dyDescent="0.2">
      <c r="C43" s="112">
        <v>2.085E-2</v>
      </c>
      <c r="D43" s="112">
        <v>2.3730000000000001E-2</v>
      </c>
      <c r="E43" s="5"/>
      <c r="F43" s="112">
        <v>9.6600000000000002E-3</v>
      </c>
      <c r="G43" s="112">
        <v>2.3730000000000001E-2</v>
      </c>
      <c r="H43" s="5"/>
      <c r="I43" s="112">
        <v>6.1399999999999996E-3</v>
      </c>
      <c r="J43" s="112">
        <v>2.3730000000000001E-2</v>
      </c>
      <c r="K43" s="5"/>
      <c r="L43" s="112">
        <v>9.6600000000000002E-3</v>
      </c>
      <c r="M43" s="112">
        <v>2.8979999999999999E-2</v>
      </c>
      <c r="N43" s="5"/>
      <c r="O43" s="112">
        <v>9.6600000000000002E-3</v>
      </c>
      <c r="P43" s="152">
        <v>2.8979999999999999E-2</v>
      </c>
    </row>
    <row r="44" spans="3:16" ht="15" customHeight="1" x14ac:dyDescent="0.2">
      <c r="C44" s="112">
        <v>1.8089999999999998E-2</v>
      </c>
      <c r="D44" s="112">
        <v>2.172E-2</v>
      </c>
      <c r="E44" s="5"/>
      <c r="F44" s="112">
        <v>1.2239999999999999E-2</v>
      </c>
      <c r="G44" s="112">
        <v>2.172E-2</v>
      </c>
      <c r="H44" s="5"/>
      <c r="I44" s="112">
        <v>7.6699999999999997E-3</v>
      </c>
      <c r="J44" s="112">
        <v>2.172E-2</v>
      </c>
      <c r="K44" s="5"/>
      <c r="L44" s="112">
        <v>1.2239999999999999E-2</v>
      </c>
      <c r="M44" s="112">
        <v>9.1699999999999993E-3</v>
      </c>
      <c r="N44" s="5"/>
      <c r="O44" s="112">
        <v>1.2239999999999999E-2</v>
      </c>
      <c r="P44" s="152">
        <v>9.1699999999999993E-3</v>
      </c>
    </row>
    <row r="45" spans="3:16" ht="15" customHeight="1" x14ac:dyDescent="0.2">
      <c r="C45" s="112">
        <v>1.5959999999999998E-2</v>
      </c>
      <c r="D45" s="112">
        <v>2.043E-2</v>
      </c>
      <c r="E45" s="5"/>
      <c r="F45" s="112">
        <v>1.321E-2</v>
      </c>
      <c r="G45" s="112">
        <v>2.043E-2</v>
      </c>
      <c r="H45" s="5"/>
      <c r="I45" s="112">
        <v>7.9799999999999992E-3</v>
      </c>
      <c r="J45" s="112">
        <v>2.043E-2</v>
      </c>
      <c r="K45" s="5"/>
      <c r="L45" s="112">
        <v>1.321E-2</v>
      </c>
      <c r="M45" s="112">
        <v>0</v>
      </c>
      <c r="N45" s="5"/>
      <c r="O45" s="112">
        <v>1.321E-2</v>
      </c>
      <c r="P45" s="152">
        <v>0</v>
      </c>
    </row>
    <row r="46" spans="3:16" ht="15" customHeight="1" x14ac:dyDescent="0.2">
      <c r="C46" s="112">
        <v>1.436E-2</v>
      </c>
      <c r="D46" s="112">
        <v>1.915E-2</v>
      </c>
      <c r="E46" s="5"/>
      <c r="F46" s="112">
        <v>1.4500000000000001E-2</v>
      </c>
      <c r="G46" s="112">
        <v>1.915E-2</v>
      </c>
      <c r="H46" s="5"/>
      <c r="I46" s="112">
        <v>1.074E-2</v>
      </c>
      <c r="J46" s="112">
        <v>1.915E-2</v>
      </c>
      <c r="K46" s="5"/>
      <c r="L46" s="112">
        <v>1.4500000000000001E-2</v>
      </c>
      <c r="M46" s="112">
        <v>0</v>
      </c>
      <c r="N46" s="5"/>
      <c r="O46" s="112">
        <v>1.4500000000000001E-2</v>
      </c>
      <c r="P46" s="152">
        <v>0</v>
      </c>
    </row>
    <row r="47" spans="3:16" ht="15" customHeight="1" x14ac:dyDescent="0.2">
      <c r="C47" s="112">
        <v>1.3299999999999999E-2</v>
      </c>
      <c r="D47" s="112">
        <v>1.374E-2</v>
      </c>
      <c r="E47" s="5"/>
      <c r="F47" s="112">
        <v>1.804E-2</v>
      </c>
      <c r="G47" s="112">
        <v>1.374E-2</v>
      </c>
      <c r="H47" s="5"/>
      <c r="I47" s="112">
        <v>1.473E-2</v>
      </c>
      <c r="J47" s="112">
        <v>1.374E-2</v>
      </c>
      <c r="K47" s="5"/>
      <c r="L47" s="112">
        <v>1.804E-2</v>
      </c>
      <c r="M47" s="112">
        <v>0</v>
      </c>
      <c r="N47" s="5"/>
      <c r="O47" s="112">
        <v>1.804E-2</v>
      </c>
      <c r="P47" s="152">
        <v>0</v>
      </c>
    </row>
    <row r="48" spans="3:16" ht="15" customHeight="1" x14ac:dyDescent="0.2">
      <c r="C48" s="112">
        <v>1.2239999999999999E-2</v>
      </c>
      <c r="D48" s="112">
        <v>8.8900000000000003E-3</v>
      </c>
      <c r="E48" s="5"/>
      <c r="F48" s="112">
        <v>2.0619999999999999E-2</v>
      </c>
      <c r="G48" s="112">
        <v>8.8900000000000003E-3</v>
      </c>
      <c r="H48" s="5"/>
      <c r="I48" s="112">
        <v>1.8110000000000001E-2</v>
      </c>
      <c r="J48" s="112">
        <v>8.8900000000000003E-3</v>
      </c>
      <c r="K48" s="5"/>
      <c r="L48" s="112">
        <v>2.0619999999999999E-2</v>
      </c>
      <c r="M48" s="112">
        <v>0</v>
      </c>
      <c r="N48" s="5"/>
      <c r="O48" s="112">
        <v>2.0619999999999999E-2</v>
      </c>
      <c r="P48" s="152">
        <v>0</v>
      </c>
    </row>
    <row r="49" spans="3:16" ht="15" customHeight="1" x14ac:dyDescent="0.2">
      <c r="C49" s="112">
        <v>1.1169999999999999E-2</v>
      </c>
      <c r="D49" s="112">
        <v>4.8500000000000001E-3</v>
      </c>
      <c r="E49" s="5"/>
      <c r="F49" s="112">
        <v>2.3199999999999998E-2</v>
      </c>
      <c r="G49" s="112">
        <v>4.8500000000000001E-3</v>
      </c>
      <c r="H49" s="5"/>
      <c r="I49" s="112">
        <v>1.9949999999999999E-2</v>
      </c>
      <c r="J49" s="112">
        <v>4.8500000000000001E-3</v>
      </c>
      <c r="K49" s="5"/>
      <c r="L49" s="112">
        <v>2.3199999999999998E-2</v>
      </c>
      <c r="M49" s="112">
        <v>0</v>
      </c>
      <c r="N49" s="5"/>
      <c r="O49" s="112">
        <v>2.3199999999999998E-2</v>
      </c>
      <c r="P49" s="152">
        <v>0</v>
      </c>
    </row>
    <row r="50" spans="3:16" ht="15" customHeight="1" x14ac:dyDescent="0.2">
      <c r="C50" s="112">
        <v>1.0109999999999999E-2</v>
      </c>
      <c r="D50" s="112">
        <v>0</v>
      </c>
      <c r="E50" s="5"/>
      <c r="F50" s="112">
        <v>2.545E-2</v>
      </c>
      <c r="G50" s="112">
        <v>0</v>
      </c>
      <c r="H50" s="5"/>
      <c r="I50" s="112">
        <v>2.0570000000000001E-2</v>
      </c>
      <c r="J50" s="112">
        <v>0</v>
      </c>
      <c r="K50" s="5"/>
      <c r="L50" s="112">
        <v>2.545E-2</v>
      </c>
      <c r="M50" s="112">
        <v>0</v>
      </c>
      <c r="N50" s="5"/>
      <c r="O50" s="112">
        <v>2.545E-2</v>
      </c>
      <c r="P50" s="152">
        <v>0</v>
      </c>
    </row>
    <row r="51" spans="3:16" ht="15" customHeight="1" x14ac:dyDescent="0.2">
      <c r="C51" s="112">
        <v>9.0399999999999994E-3</v>
      </c>
      <c r="D51" s="112">
        <v>0</v>
      </c>
      <c r="E51" s="5"/>
      <c r="F51" s="112">
        <v>2.5780000000000001E-2</v>
      </c>
      <c r="G51" s="112">
        <v>0</v>
      </c>
      <c r="H51" s="5"/>
      <c r="I51" s="112">
        <v>2.087E-2</v>
      </c>
      <c r="J51" s="112">
        <v>0</v>
      </c>
      <c r="K51" s="5"/>
      <c r="L51" s="112">
        <v>2.5780000000000001E-2</v>
      </c>
      <c r="M51" s="112">
        <v>0</v>
      </c>
      <c r="N51" s="5"/>
      <c r="O51" s="112">
        <v>2.5780000000000001E-2</v>
      </c>
      <c r="P51" s="152">
        <v>0</v>
      </c>
    </row>
    <row r="52" spans="3:16" ht="15" customHeight="1" x14ac:dyDescent="0.2">
      <c r="C52" s="112">
        <v>7.9799999999999992E-3</v>
      </c>
      <c r="D52" s="112">
        <v>0</v>
      </c>
      <c r="E52" s="5"/>
      <c r="F52" s="112">
        <v>3.1579999999999997E-2</v>
      </c>
      <c r="G52" s="112">
        <v>0</v>
      </c>
      <c r="H52" s="5"/>
      <c r="I52" s="112">
        <v>2.6089999999999999E-2</v>
      </c>
      <c r="J52" s="112">
        <v>0</v>
      </c>
      <c r="K52" s="5"/>
      <c r="L52" s="112">
        <v>3.1579999999999997E-2</v>
      </c>
      <c r="M52" s="112">
        <v>0</v>
      </c>
      <c r="N52" s="5"/>
      <c r="O52" s="112">
        <v>3.1579999999999997E-2</v>
      </c>
      <c r="P52" s="152">
        <v>0</v>
      </c>
    </row>
    <row r="53" spans="3:16" ht="15" customHeight="1" x14ac:dyDescent="0.2">
      <c r="C53" s="112">
        <v>7.1799999999999998E-3</v>
      </c>
      <c r="D53" s="112">
        <v>0</v>
      </c>
      <c r="E53" s="5"/>
      <c r="F53" s="112">
        <v>4.8340000000000001E-2</v>
      </c>
      <c r="G53" s="112">
        <v>0</v>
      </c>
      <c r="H53" s="5"/>
      <c r="I53" s="112">
        <v>3.5060000000000001E-2</v>
      </c>
      <c r="J53" s="112">
        <v>0</v>
      </c>
      <c r="K53" s="5"/>
      <c r="L53" s="112">
        <v>4.8340000000000001E-2</v>
      </c>
      <c r="M53" s="112">
        <v>0</v>
      </c>
      <c r="N53" s="5"/>
      <c r="O53" s="112">
        <v>4.8340000000000001E-2</v>
      </c>
      <c r="P53" s="152">
        <v>0</v>
      </c>
    </row>
    <row r="54" spans="3:16" ht="15" customHeight="1" x14ac:dyDescent="0.2">
      <c r="C54" s="112">
        <v>6.3800000000000003E-3</v>
      </c>
      <c r="D54" s="112">
        <v>0</v>
      </c>
      <c r="E54" s="5"/>
      <c r="F54" s="112">
        <v>5.1560000000000002E-2</v>
      </c>
      <c r="G54" s="112">
        <v>0</v>
      </c>
      <c r="H54" s="5"/>
      <c r="I54" s="112">
        <v>4.7890000000000002E-2</v>
      </c>
      <c r="J54" s="112">
        <v>0</v>
      </c>
      <c r="K54" s="5"/>
      <c r="L54" s="112">
        <v>5.1560000000000002E-2</v>
      </c>
      <c r="M54" s="112">
        <v>0</v>
      </c>
      <c r="N54" s="5"/>
      <c r="O54" s="112">
        <v>5.1560000000000002E-2</v>
      </c>
      <c r="P54" s="152">
        <v>0</v>
      </c>
    </row>
    <row r="55" spans="3:16" ht="15" customHeight="1" x14ac:dyDescent="0.2">
      <c r="C55" s="112">
        <v>6.6499999999999997E-3</v>
      </c>
      <c r="D55" s="112">
        <v>0</v>
      </c>
      <c r="E55" s="5"/>
      <c r="F55" s="113">
        <v>0.10119</v>
      </c>
      <c r="G55" s="112">
        <v>0</v>
      </c>
      <c r="H55" s="5"/>
      <c r="I55" s="113">
        <v>8.9029999999999998E-2</v>
      </c>
      <c r="J55" s="112">
        <v>0</v>
      </c>
      <c r="K55" s="5"/>
      <c r="L55" s="113">
        <v>0.10119</v>
      </c>
      <c r="M55" s="112">
        <v>0</v>
      </c>
      <c r="N55" s="5"/>
      <c r="O55" s="113">
        <v>0.10119</v>
      </c>
      <c r="P55" s="152">
        <v>0</v>
      </c>
    </row>
    <row r="56" spans="3:16" ht="15" customHeight="1" x14ac:dyDescent="0.2">
      <c r="C56" s="112">
        <v>6.9100000000000003E-3</v>
      </c>
      <c r="D56" s="112">
        <v>0</v>
      </c>
      <c r="E56" s="5"/>
      <c r="F56" s="112">
        <v>5.3490000000000003E-2</v>
      </c>
      <c r="G56" s="112">
        <v>0</v>
      </c>
      <c r="H56" s="5"/>
      <c r="I56" s="112">
        <v>5.0959999999999998E-2</v>
      </c>
      <c r="J56" s="112">
        <v>0</v>
      </c>
      <c r="K56" s="5"/>
      <c r="L56" s="112">
        <v>5.3490000000000003E-2</v>
      </c>
      <c r="M56" s="112">
        <v>0</v>
      </c>
      <c r="N56" s="5"/>
      <c r="O56" s="112">
        <v>5.3490000000000003E-2</v>
      </c>
      <c r="P56" s="152">
        <v>0</v>
      </c>
    </row>
    <row r="57" spans="3:16" ht="15" customHeight="1" x14ac:dyDescent="0.2">
      <c r="C57" s="112">
        <v>7.1799999999999998E-3</v>
      </c>
      <c r="D57" s="112">
        <v>0</v>
      </c>
      <c r="E57" s="5"/>
      <c r="F57" s="112">
        <v>3.8670000000000003E-2</v>
      </c>
      <c r="G57" s="112">
        <v>0</v>
      </c>
      <c r="H57" s="5"/>
      <c r="I57" s="112">
        <v>4.6050000000000001E-2</v>
      </c>
      <c r="J57" s="112">
        <v>0</v>
      </c>
      <c r="K57" s="5"/>
      <c r="L57" s="112">
        <v>3.8670000000000003E-2</v>
      </c>
      <c r="M57" s="112">
        <v>0</v>
      </c>
      <c r="N57" s="5"/>
      <c r="O57" s="112">
        <v>3.8670000000000003E-2</v>
      </c>
      <c r="P57" s="152">
        <v>0</v>
      </c>
    </row>
    <row r="58" spans="3:16" ht="15" customHeight="1" x14ac:dyDescent="0.2">
      <c r="C58" s="112">
        <v>7.7099999999999998E-3</v>
      </c>
      <c r="D58" s="112">
        <v>0</v>
      </c>
      <c r="E58" s="5"/>
      <c r="F58" s="112">
        <v>2.707E-2</v>
      </c>
      <c r="G58" s="112">
        <v>0</v>
      </c>
      <c r="H58" s="5"/>
      <c r="I58" s="112">
        <v>4.052E-2</v>
      </c>
      <c r="J58" s="112">
        <v>0</v>
      </c>
      <c r="K58" s="5"/>
      <c r="L58" s="112">
        <v>2.707E-2</v>
      </c>
      <c r="M58" s="112">
        <v>0</v>
      </c>
      <c r="N58" s="5"/>
      <c r="O58" s="112">
        <v>2.707E-2</v>
      </c>
      <c r="P58" s="152">
        <v>0</v>
      </c>
    </row>
    <row r="59" spans="3:16" ht="15" customHeight="1" x14ac:dyDescent="0.2">
      <c r="C59" s="112">
        <v>7.9799999999999992E-3</v>
      </c>
      <c r="D59" s="112">
        <v>0</v>
      </c>
      <c r="E59" s="5"/>
      <c r="F59" s="112">
        <v>2.545E-2</v>
      </c>
      <c r="G59" s="112">
        <v>0</v>
      </c>
      <c r="H59" s="5"/>
      <c r="I59" s="112">
        <v>3.039E-2</v>
      </c>
      <c r="J59" s="112">
        <v>0</v>
      </c>
      <c r="K59" s="5"/>
      <c r="L59" s="112">
        <v>2.545E-2</v>
      </c>
      <c r="M59" s="112">
        <v>0</v>
      </c>
      <c r="N59" s="5"/>
      <c r="O59" s="112">
        <v>2.545E-2</v>
      </c>
      <c r="P59" s="152">
        <v>0</v>
      </c>
    </row>
    <row r="60" spans="3:16" ht="15" customHeight="1" x14ac:dyDescent="0.2">
      <c r="C60" s="112">
        <v>1.0109999999999999E-2</v>
      </c>
      <c r="D60" s="112">
        <v>0</v>
      </c>
      <c r="E60" s="5"/>
      <c r="F60" s="112">
        <v>2.1909999999999999E-2</v>
      </c>
      <c r="G60" s="112">
        <v>0</v>
      </c>
      <c r="H60" s="5"/>
      <c r="I60" s="112">
        <v>2.2720000000000001E-2</v>
      </c>
      <c r="J60" s="112">
        <v>0</v>
      </c>
      <c r="K60" s="5"/>
      <c r="L60" s="112">
        <v>2.1909999999999999E-2</v>
      </c>
      <c r="M60" s="112">
        <v>0</v>
      </c>
      <c r="N60" s="5"/>
      <c r="O60" s="112">
        <v>2.1909999999999999E-2</v>
      </c>
      <c r="P60" s="152">
        <v>0</v>
      </c>
    </row>
    <row r="61" spans="3:16" ht="15" customHeight="1" x14ac:dyDescent="0.2">
      <c r="C61" s="112">
        <v>1.49E-2</v>
      </c>
      <c r="D61" s="112">
        <v>0</v>
      </c>
      <c r="E61" s="5"/>
      <c r="F61" s="112">
        <v>1.9009999999999999E-2</v>
      </c>
      <c r="G61" s="112">
        <v>0</v>
      </c>
      <c r="H61" s="5"/>
      <c r="I61" s="112">
        <v>2.0570000000000001E-2</v>
      </c>
      <c r="J61" s="112">
        <v>0</v>
      </c>
      <c r="K61" s="5"/>
      <c r="L61" s="112">
        <v>1.9009999999999999E-2</v>
      </c>
      <c r="M61" s="112">
        <v>0</v>
      </c>
      <c r="N61" s="5"/>
      <c r="O61" s="112">
        <v>1.9009999999999999E-2</v>
      </c>
      <c r="P61" s="152">
        <v>0</v>
      </c>
    </row>
    <row r="62" spans="3:16" ht="15" customHeight="1" x14ac:dyDescent="0.2">
      <c r="C62" s="112">
        <v>1.8089999999999998E-2</v>
      </c>
      <c r="D62" s="112">
        <v>0</v>
      </c>
      <c r="E62" s="5"/>
      <c r="F62" s="112">
        <v>1.643E-2</v>
      </c>
      <c r="G62" s="112">
        <v>0</v>
      </c>
      <c r="H62" s="5"/>
      <c r="I62" s="112">
        <v>1.958E-2</v>
      </c>
      <c r="J62" s="112">
        <v>0</v>
      </c>
      <c r="K62" s="5"/>
      <c r="L62" s="112">
        <v>1.643E-2</v>
      </c>
      <c r="M62" s="112">
        <v>0</v>
      </c>
      <c r="N62" s="5"/>
      <c r="O62" s="112">
        <v>1.643E-2</v>
      </c>
      <c r="P62" s="152">
        <v>0</v>
      </c>
    </row>
    <row r="63" spans="3:16" ht="15" customHeight="1" x14ac:dyDescent="0.2">
      <c r="C63" s="112">
        <v>2.0480000000000002E-2</v>
      </c>
      <c r="D63" s="114">
        <v>0</v>
      </c>
      <c r="E63" s="5"/>
      <c r="F63" s="112">
        <v>1.353E-2</v>
      </c>
      <c r="G63" s="114">
        <v>0</v>
      </c>
      <c r="H63" s="5"/>
      <c r="I63" s="112">
        <v>1.8720000000000001E-2</v>
      </c>
      <c r="J63" s="114">
        <v>0</v>
      </c>
      <c r="K63" s="5"/>
      <c r="L63" s="112">
        <v>1.353E-2</v>
      </c>
      <c r="M63" s="114">
        <v>0</v>
      </c>
      <c r="N63" s="5"/>
      <c r="O63" s="112">
        <v>1.353E-2</v>
      </c>
      <c r="P63" s="155">
        <v>0</v>
      </c>
    </row>
    <row r="64" spans="3:16" ht="15" customHeight="1" x14ac:dyDescent="0.2">
      <c r="C64" s="112">
        <v>2.1819999999999999E-2</v>
      </c>
      <c r="D64" s="5"/>
      <c r="E64" s="5"/>
      <c r="F64" s="112">
        <v>1.1599999999999999E-2</v>
      </c>
      <c r="G64" s="5"/>
      <c r="H64" s="5"/>
      <c r="I64" s="112">
        <v>1.5650000000000001E-2</v>
      </c>
      <c r="J64" s="5"/>
      <c r="K64" s="5"/>
      <c r="L64" s="112">
        <v>1.1599999999999999E-2</v>
      </c>
      <c r="M64" s="5"/>
      <c r="N64" s="5"/>
      <c r="O64" s="112">
        <v>1.1599999999999999E-2</v>
      </c>
      <c r="P64" s="5"/>
    </row>
    <row r="65" spans="3:16" ht="15" customHeight="1" x14ac:dyDescent="0.2">
      <c r="C65" s="112">
        <v>2.2880000000000001E-2</v>
      </c>
      <c r="D65" s="5"/>
      <c r="E65" s="5"/>
      <c r="F65" s="112">
        <v>1.095E-2</v>
      </c>
      <c r="G65" s="5"/>
      <c r="H65" s="5"/>
      <c r="I65" s="112">
        <v>1.166E-2</v>
      </c>
      <c r="J65" s="5"/>
      <c r="K65" s="5"/>
      <c r="L65" s="112">
        <v>1.095E-2</v>
      </c>
      <c r="M65" s="5"/>
      <c r="N65" s="5"/>
      <c r="O65" s="112">
        <v>1.095E-2</v>
      </c>
      <c r="P65" s="5"/>
    </row>
    <row r="66" spans="3:16" ht="15" customHeight="1" x14ac:dyDescent="0.2">
      <c r="C66" s="112">
        <v>2.368E-2</v>
      </c>
      <c r="D66" s="5"/>
      <c r="E66" s="5"/>
      <c r="F66" s="112">
        <v>1.0630000000000001E-2</v>
      </c>
      <c r="G66" s="5"/>
      <c r="H66" s="5"/>
      <c r="I66" s="112">
        <v>9.8200000000000006E-3</v>
      </c>
      <c r="J66" s="5"/>
      <c r="K66" s="5"/>
      <c r="L66" s="112">
        <v>1.0630000000000001E-2</v>
      </c>
      <c r="M66" s="5"/>
      <c r="N66" s="5"/>
      <c r="O66" s="112">
        <v>1.0630000000000001E-2</v>
      </c>
      <c r="P66" s="5"/>
    </row>
    <row r="67" spans="3:16" ht="15" customHeight="1" x14ac:dyDescent="0.2">
      <c r="C67" s="112">
        <v>2.7140000000000001E-2</v>
      </c>
      <c r="D67" s="5"/>
      <c r="E67" s="5"/>
      <c r="F67" s="112">
        <v>9.9900000000000006E-3</v>
      </c>
      <c r="G67" s="5"/>
      <c r="H67" s="5"/>
      <c r="I67" s="112">
        <v>8.5900000000000004E-3</v>
      </c>
      <c r="J67" s="5"/>
      <c r="K67" s="5"/>
      <c r="L67" s="112">
        <v>9.9900000000000006E-3</v>
      </c>
      <c r="M67" s="5"/>
      <c r="N67" s="5"/>
      <c r="O67" s="112">
        <v>9.9900000000000006E-3</v>
      </c>
      <c r="P67" s="5"/>
    </row>
    <row r="68" spans="3:16" ht="15" customHeight="1" x14ac:dyDescent="0.2">
      <c r="C68" s="112">
        <v>3.5119999999999998E-2</v>
      </c>
      <c r="D68" s="5"/>
      <c r="E68" s="5"/>
      <c r="F68" s="112">
        <v>9.0200000000000002E-3</v>
      </c>
      <c r="G68" s="5"/>
      <c r="H68" s="5"/>
      <c r="I68" s="112">
        <v>7.3600000000000002E-3</v>
      </c>
      <c r="J68" s="5"/>
      <c r="K68" s="5"/>
      <c r="L68" s="112">
        <v>9.0200000000000002E-3</v>
      </c>
      <c r="M68" s="5"/>
      <c r="N68" s="5"/>
      <c r="O68" s="112">
        <v>9.0200000000000002E-3</v>
      </c>
      <c r="P68" s="5"/>
    </row>
    <row r="69" spans="3:16" ht="15" customHeight="1" x14ac:dyDescent="0.2">
      <c r="C69" s="113">
        <v>6.7580000000000001E-2</v>
      </c>
      <c r="D69" s="5"/>
      <c r="E69" s="5"/>
      <c r="F69" s="115">
        <v>8.0499999999999999E-3</v>
      </c>
      <c r="G69" s="5"/>
      <c r="H69" s="5"/>
      <c r="I69" s="115">
        <v>6.4400000000000004E-3</v>
      </c>
      <c r="J69" s="5"/>
      <c r="K69" s="5"/>
      <c r="L69" s="115">
        <v>8.0499999999999999E-3</v>
      </c>
      <c r="M69" s="5"/>
      <c r="N69" s="5"/>
      <c r="O69" s="115">
        <v>8.0499999999999999E-3</v>
      </c>
      <c r="P69" s="5"/>
    </row>
    <row r="70" spans="3:16" ht="15" customHeight="1" x14ac:dyDescent="0.2">
      <c r="C70" s="112">
        <v>3.8850000000000003E-2</v>
      </c>
      <c r="D70" s="5"/>
      <c r="E70" s="5"/>
      <c r="F70" s="112">
        <v>7.0800000000000004E-3</v>
      </c>
      <c r="G70" s="5"/>
      <c r="H70" s="5"/>
      <c r="I70" s="112">
        <v>5.8300000000000001E-3</v>
      </c>
      <c r="J70" s="5"/>
      <c r="K70" s="5"/>
      <c r="L70" s="112">
        <v>7.0800000000000004E-3</v>
      </c>
      <c r="M70" s="5"/>
      <c r="N70" s="5"/>
      <c r="O70" s="112">
        <v>7.0800000000000004E-3</v>
      </c>
      <c r="P70" s="5"/>
    </row>
    <row r="71" spans="3:16" ht="15" customHeight="1" x14ac:dyDescent="0.2">
      <c r="C71" s="112">
        <v>3.2460000000000003E-2</v>
      </c>
      <c r="D71" s="5"/>
      <c r="E71" s="5"/>
      <c r="F71" s="112">
        <v>6.1199999999999996E-3</v>
      </c>
      <c r="G71" s="5"/>
      <c r="H71" s="5"/>
      <c r="I71" s="112">
        <v>5.2100000000000002E-3</v>
      </c>
      <c r="J71" s="5"/>
      <c r="K71" s="5"/>
      <c r="L71" s="112">
        <v>6.1199999999999996E-3</v>
      </c>
      <c r="M71" s="5"/>
      <c r="N71" s="5"/>
      <c r="O71" s="112">
        <v>6.1199999999999996E-3</v>
      </c>
      <c r="P71" s="5"/>
    </row>
    <row r="72" spans="3:16" ht="15" customHeight="1" x14ac:dyDescent="0.2">
      <c r="C72" s="112">
        <v>2.3939999999999999E-2</v>
      </c>
      <c r="D72" s="5"/>
      <c r="E72" s="5"/>
      <c r="F72" s="112">
        <v>5.1500000000000001E-3</v>
      </c>
      <c r="G72" s="5"/>
      <c r="H72" s="5"/>
      <c r="I72" s="112">
        <v>4.9100000000000003E-3</v>
      </c>
      <c r="J72" s="5"/>
      <c r="K72" s="5"/>
      <c r="L72" s="112">
        <v>5.1500000000000001E-3</v>
      </c>
      <c r="M72" s="5"/>
      <c r="N72" s="5"/>
      <c r="O72" s="112">
        <v>5.1500000000000001E-3</v>
      </c>
      <c r="P72" s="5"/>
    </row>
    <row r="73" spans="3:16" ht="15" customHeight="1" x14ac:dyDescent="0.2">
      <c r="C73" s="112">
        <v>2.315E-2</v>
      </c>
      <c r="D73" s="5"/>
      <c r="E73" s="5"/>
      <c r="F73" s="112">
        <v>4.1799999999999997E-3</v>
      </c>
      <c r="G73" s="5"/>
      <c r="H73" s="5"/>
      <c r="I73" s="112">
        <v>4.5999999999999999E-3</v>
      </c>
      <c r="J73" s="5"/>
      <c r="K73" s="5"/>
      <c r="L73" s="112">
        <v>4.1799999999999997E-3</v>
      </c>
      <c r="M73" s="5"/>
      <c r="N73" s="5"/>
      <c r="O73" s="112">
        <v>4.1799999999999997E-3</v>
      </c>
      <c r="P73" s="5"/>
    </row>
    <row r="74" spans="3:16" ht="15" customHeight="1" x14ac:dyDescent="0.2">
      <c r="C74" s="112">
        <v>2.2880000000000001E-2</v>
      </c>
      <c r="D74" s="5"/>
      <c r="E74" s="5"/>
      <c r="F74" s="112">
        <v>3.5400000000000002E-3</v>
      </c>
      <c r="G74" s="5"/>
      <c r="H74" s="5"/>
      <c r="I74" s="112">
        <v>4.2900000000000004E-3</v>
      </c>
      <c r="J74" s="5"/>
      <c r="K74" s="5"/>
      <c r="L74" s="112">
        <v>3.5400000000000002E-3</v>
      </c>
      <c r="M74" s="5"/>
      <c r="N74" s="5"/>
      <c r="O74" s="112">
        <v>3.5400000000000002E-3</v>
      </c>
      <c r="P74" s="5"/>
    </row>
    <row r="75" spans="3:16" ht="15" customHeight="1" x14ac:dyDescent="0.2">
      <c r="C75" s="112">
        <v>2.2079999999999999E-2</v>
      </c>
      <c r="D75" s="5"/>
      <c r="E75" s="5"/>
      <c r="F75" s="112">
        <v>2.8999999999999998E-3</v>
      </c>
      <c r="G75" s="5"/>
      <c r="H75" s="5"/>
      <c r="I75" s="112">
        <v>3.9899999999999996E-3</v>
      </c>
      <c r="J75" s="5"/>
      <c r="K75" s="5"/>
      <c r="L75" s="112">
        <v>2.8999999999999998E-3</v>
      </c>
      <c r="M75" s="5"/>
      <c r="N75" s="5"/>
      <c r="O75" s="112">
        <v>2.8999999999999998E-3</v>
      </c>
      <c r="P75" s="5"/>
    </row>
    <row r="76" spans="3:16" ht="15" customHeight="1" x14ac:dyDescent="0.2">
      <c r="C76" s="112">
        <v>2.0750000000000001E-2</v>
      </c>
      <c r="D76" s="5"/>
      <c r="E76" s="5"/>
      <c r="F76" s="112">
        <v>2.2499999999999998E-3</v>
      </c>
      <c r="G76" s="5"/>
      <c r="H76" s="5"/>
      <c r="I76" s="112">
        <v>3.6800000000000001E-3</v>
      </c>
      <c r="J76" s="5"/>
      <c r="K76" s="5"/>
      <c r="L76" s="112">
        <v>2.2499999999999998E-3</v>
      </c>
      <c r="M76" s="5"/>
      <c r="N76" s="5"/>
      <c r="O76" s="112">
        <v>2.2499999999999998E-3</v>
      </c>
      <c r="P76" s="5"/>
    </row>
    <row r="77" spans="3:16" ht="15" customHeight="1" x14ac:dyDescent="0.2">
      <c r="C77" s="112">
        <v>1.9949999999999999E-2</v>
      </c>
      <c r="D77" s="5"/>
      <c r="E77" s="5"/>
      <c r="F77" s="112">
        <v>1.6100000000000001E-3</v>
      </c>
      <c r="G77" s="5"/>
      <c r="H77" s="5"/>
      <c r="I77" s="112">
        <v>3.3700000000000002E-3</v>
      </c>
      <c r="J77" s="5"/>
      <c r="K77" s="5"/>
      <c r="L77" s="112">
        <v>1.6100000000000001E-3</v>
      </c>
      <c r="M77" s="5"/>
      <c r="N77" s="5"/>
      <c r="O77" s="112">
        <v>1.6100000000000001E-3</v>
      </c>
      <c r="P77" s="5"/>
    </row>
    <row r="78" spans="3:16" ht="15" customHeight="1" x14ac:dyDescent="0.2">
      <c r="C78" s="112">
        <v>1.8089999999999998E-2</v>
      </c>
      <c r="D78" s="5"/>
      <c r="E78" s="5"/>
      <c r="F78" s="112">
        <v>9.6000000000000002E-4</v>
      </c>
      <c r="G78" s="5"/>
      <c r="H78" s="5"/>
      <c r="I78" s="112">
        <v>3.0699999999999998E-3</v>
      </c>
      <c r="J78" s="5"/>
      <c r="K78" s="5"/>
      <c r="L78" s="112">
        <v>9.6000000000000002E-4</v>
      </c>
      <c r="M78" s="5"/>
      <c r="N78" s="5"/>
      <c r="O78" s="112">
        <v>9.6000000000000002E-4</v>
      </c>
      <c r="P78" s="5"/>
    </row>
    <row r="79" spans="3:16" ht="15" customHeight="1" x14ac:dyDescent="0.2">
      <c r="C79" s="112">
        <v>1.383E-2</v>
      </c>
      <c r="D79" s="5"/>
      <c r="E79" s="5"/>
      <c r="F79" s="112">
        <v>6.4000000000000005E-4</v>
      </c>
      <c r="G79" s="5"/>
      <c r="H79" s="5"/>
      <c r="I79" s="112">
        <v>2.7599999999999999E-3</v>
      </c>
      <c r="J79" s="5"/>
      <c r="K79" s="5"/>
      <c r="L79" s="112">
        <v>6.4000000000000005E-4</v>
      </c>
      <c r="M79" s="5"/>
      <c r="N79" s="5"/>
      <c r="O79" s="112">
        <v>6.4000000000000005E-4</v>
      </c>
      <c r="P79" s="5"/>
    </row>
    <row r="80" spans="3:16" ht="15" customHeight="1" x14ac:dyDescent="0.2">
      <c r="C80" s="112">
        <v>1.1440000000000001E-2</v>
      </c>
      <c r="D80" s="5"/>
      <c r="E80" s="5"/>
      <c r="F80" s="112">
        <v>3.2000000000000003E-4</v>
      </c>
      <c r="G80" s="5"/>
      <c r="H80" s="5"/>
      <c r="I80" s="112">
        <v>2.4499999999999999E-3</v>
      </c>
      <c r="J80" s="5"/>
      <c r="K80" s="5"/>
      <c r="L80" s="112">
        <v>3.2000000000000003E-4</v>
      </c>
      <c r="M80" s="5"/>
      <c r="N80" s="5"/>
      <c r="O80" s="112">
        <v>3.2000000000000003E-4</v>
      </c>
      <c r="P80" s="5"/>
    </row>
    <row r="81" spans="3:16" ht="15" customHeight="1" x14ac:dyDescent="0.2">
      <c r="C81" s="112">
        <v>7.1799999999999998E-3</v>
      </c>
      <c r="D81" s="5"/>
      <c r="E81" s="5"/>
      <c r="F81" s="112">
        <v>0</v>
      </c>
      <c r="G81" s="5"/>
      <c r="H81" s="5"/>
      <c r="I81" s="112">
        <v>2.14E-3</v>
      </c>
      <c r="J81" s="5"/>
      <c r="K81" s="5"/>
      <c r="L81" s="112">
        <v>0</v>
      </c>
      <c r="M81" s="5"/>
      <c r="N81" s="5"/>
      <c r="O81" s="112">
        <v>0</v>
      </c>
      <c r="P81" s="5"/>
    </row>
    <row r="82" spans="3:16" ht="15" customHeight="1" x14ac:dyDescent="0.2">
      <c r="C82" s="112">
        <v>6.9100000000000003E-3</v>
      </c>
      <c r="D82" s="5"/>
      <c r="E82" s="5"/>
      <c r="F82" s="112">
        <v>0</v>
      </c>
      <c r="G82" s="5"/>
      <c r="H82" s="5"/>
      <c r="I82" s="112">
        <v>1.8400000000000001E-3</v>
      </c>
      <c r="J82" s="5"/>
      <c r="K82" s="5"/>
      <c r="L82" s="112">
        <v>0</v>
      </c>
      <c r="M82" s="5"/>
      <c r="N82" s="5"/>
      <c r="O82" s="112">
        <v>0</v>
      </c>
      <c r="P82" s="5"/>
    </row>
    <row r="83" spans="3:16" ht="15" customHeight="1" x14ac:dyDescent="0.2">
      <c r="C83" s="112">
        <v>6.6499999999999997E-3</v>
      </c>
      <c r="D83" s="5"/>
      <c r="E83" s="5"/>
      <c r="F83" s="112">
        <v>0</v>
      </c>
      <c r="G83" s="5"/>
      <c r="H83" s="5"/>
      <c r="I83" s="112">
        <v>1.5299999999999999E-3</v>
      </c>
      <c r="J83" s="5"/>
      <c r="K83" s="5"/>
      <c r="L83" s="112">
        <v>0</v>
      </c>
      <c r="M83" s="5"/>
      <c r="N83" s="5"/>
      <c r="O83" s="112">
        <v>0</v>
      </c>
      <c r="P83" s="5"/>
    </row>
    <row r="84" spans="3:16" ht="15" customHeight="1" x14ac:dyDescent="0.2">
      <c r="C84" s="112">
        <v>6.3800000000000003E-3</v>
      </c>
      <c r="D84" s="5"/>
      <c r="E84" s="5"/>
      <c r="F84" s="112">
        <v>0</v>
      </c>
      <c r="G84" s="5"/>
      <c r="H84" s="5"/>
      <c r="I84" s="112">
        <v>1.2199999999999999E-3</v>
      </c>
      <c r="J84" s="5"/>
      <c r="K84" s="5"/>
      <c r="L84" s="112">
        <v>0</v>
      </c>
      <c r="M84" s="5"/>
      <c r="N84" s="5"/>
      <c r="O84" s="112">
        <v>0</v>
      </c>
      <c r="P84" s="5"/>
    </row>
    <row r="85" spans="3:16" ht="15" customHeight="1" x14ac:dyDescent="0.2">
      <c r="C85" s="112">
        <v>6.1199999999999996E-3</v>
      </c>
      <c r="D85" s="5"/>
      <c r="E85" s="5"/>
      <c r="F85" s="112">
        <v>0</v>
      </c>
      <c r="G85" s="5"/>
      <c r="H85" s="5"/>
      <c r="I85" s="112">
        <v>9.2000000000000003E-4</v>
      </c>
      <c r="J85" s="5"/>
      <c r="K85" s="5"/>
      <c r="L85" s="112">
        <v>0</v>
      </c>
      <c r="M85" s="5"/>
      <c r="N85" s="5"/>
      <c r="O85" s="112">
        <v>0</v>
      </c>
      <c r="P85" s="5"/>
    </row>
    <row r="86" spans="3:16" ht="15" customHeight="1" x14ac:dyDescent="0.2">
      <c r="C86" s="112">
        <v>5.8500000000000002E-3</v>
      </c>
      <c r="D86" s="5"/>
      <c r="E86" s="5"/>
      <c r="F86" s="112">
        <v>0</v>
      </c>
      <c r="G86" s="5"/>
      <c r="H86" s="5"/>
      <c r="I86" s="112">
        <v>6.0999999999999997E-4</v>
      </c>
      <c r="J86" s="5"/>
      <c r="K86" s="5"/>
      <c r="L86" s="112">
        <v>0</v>
      </c>
      <c r="M86" s="5"/>
      <c r="N86" s="5"/>
      <c r="O86" s="112">
        <v>0</v>
      </c>
      <c r="P86" s="5"/>
    </row>
    <row r="87" spans="3:16" ht="15" customHeight="1" x14ac:dyDescent="0.2">
      <c r="C87" s="114">
        <v>5.5799999999999999E-3</v>
      </c>
      <c r="D87" s="5"/>
      <c r="E87" s="5"/>
      <c r="F87" s="114">
        <v>0</v>
      </c>
      <c r="G87" s="5"/>
      <c r="H87" s="5"/>
      <c r="I87" s="114">
        <v>2.9999999999999997E-4</v>
      </c>
      <c r="J87" s="5"/>
      <c r="K87" s="5"/>
      <c r="L87" s="114">
        <v>0</v>
      </c>
      <c r="M87" s="5"/>
      <c r="N87" s="5"/>
      <c r="O87" s="114">
        <v>0</v>
      </c>
      <c r="P87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A2" sqref="A2"/>
    </sheetView>
  </sheetViews>
  <sheetFormatPr defaultColWidth="9" defaultRowHeight="15" customHeight="1" x14ac:dyDescent="0.2"/>
  <cols>
    <col min="1" max="16384" width="9" style="2"/>
  </cols>
  <sheetData>
    <row r="1" spans="1:14" ht="15" customHeight="1" x14ac:dyDescent="0.25">
      <c r="A1" s="8" t="s">
        <v>131</v>
      </c>
      <c r="F1" s="156" t="s">
        <v>177</v>
      </c>
      <c r="I1" s="8" t="s">
        <v>179</v>
      </c>
    </row>
    <row r="4" spans="1:14" ht="15" customHeight="1" x14ac:dyDescent="0.25">
      <c r="A4" s="126" t="s">
        <v>152</v>
      </c>
    </row>
    <row r="5" spans="1:14" ht="15" customHeight="1" x14ac:dyDescent="0.25">
      <c r="A5" s="126" t="s">
        <v>153</v>
      </c>
    </row>
    <row r="6" spans="1:14" ht="15" customHeight="1" x14ac:dyDescent="0.25">
      <c r="A6" s="126" t="s">
        <v>180</v>
      </c>
    </row>
    <row r="7" spans="1:14" ht="15" customHeight="1" x14ac:dyDescent="0.25">
      <c r="A7" s="126"/>
    </row>
    <row r="9" spans="1:14" ht="15" customHeight="1" x14ac:dyDescent="0.2">
      <c r="D9" s="1" t="s">
        <v>170</v>
      </c>
      <c r="G9" s="1" t="s">
        <v>170</v>
      </c>
      <c r="J9" s="1" t="s">
        <v>176</v>
      </c>
      <c r="M9" s="1" t="s">
        <v>175</v>
      </c>
    </row>
    <row r="10" spans="1:14" ht="15" customHeight="1" x14ac:dyDescent="0.2">
      <c r="A10" s="2" t="s">
        <v>169</v>
      </c>
      <c r="C10" s="110">
        <v>5</v>
      </c>
      <c r="D10" s="1" t="s">
        <v>171</v>
      </c>
      <c r="F10" s="110" t="s">
        <v>172</v>
      </c>
      <c r="G10" s="2" t="s">
        <v>139</v>
      </c>
      <c r="I10" s="110" t="s">
        <v>173</v>
      </c>
      <c r="J10" s="1" t="s">
        <v>171</v>
      </c>
      <c r="L10" s="110" t="s">
        <v>174</v>
      </c>
      <c r="M10" s="2" t="s">
        <v>139</v>
      </c>
    </row>
    <row r="11" spans="1:14" ht="15" customHeight="1" x14ac:dyDescent="0.2">
      <c r="C11" s="110"/>
      <c r="D11" s="1"/>
      <c r="F11" s="110"/>
      <c r="G11" s="1"/>
      <c r="I11" s="110"/>
      <c r="L11" s="5"/>
    </row>
    <row r="12" spans="1:14" ht="15" customHeight="1" x14ac:dyDescent="0.2">
      <c r="A12" s="2" t="s">
        <v>133</v>
      </c>
      <c r="C12" s="1" t="s">
        <v>122</v>
      </c>
      <c r="D12" s="1" t="s">
        <v>123</v>
      </c>
      <c r="F12" s="1" t="s">
        <v>122</v>
      </c>
      <c r="G12" s="1" t="s">
        <v>123</v>
      </c>
      <c r="I12" s="1" t="s">
        <v>122</v>
      </c>
      <c r="J12" s="1" t="s">
        <v>123</v>
      </c>
      <c r="L12" s="1" t="s">
        <v>122</v>
      </c>
      <c r="M12" s="1" t="s">
        <v>123</v>
      </c>
    </row>
    <row r="13" spans="1:14" ht="15" customHeight="1" x14ac:dyDescent="0.2">
      <c r="A13" s="2" t="s">
        <v>24</v>
      </c>
      <c r="C13" s="1">
        <v>8</v>
      </c>
      <c r="D13" s="1">
        <v>5</v>
      </c>
      <c r="F13" s="1">
        <v>9</v>
      </c>
      <c r="G13" s="1">
        <v>5</v>
      </c>
      <c r="I13" s="1">
        <v>10</v>
      </c>
      <c r="J13" s="1">
        <v>5</v>
      </c>
      <c r="L13" s="1">
        <v>9</v>
      </c>
      <c r="M13" s="1">
        <v>5</v>
      </c>
    </row>
    <row r="15" spans="1:14" ht="15" customHeight="1" x14ac:dyDescent="0.2">
      <c r="A15" s="3" t="s">
        <v>134</v>
      </c>
      <c r="C15" s="111">
        <v>0</v>
      </c>
      <c r="D15" s="111">
        <v>0</v>
      </c>
      <c r="E15" s="5"/>
      <c r="F15" s="111">
        <v>0</v>
      </c>
      <c r="G15" s="111">
        <v>0</v>
      </c>
      <c r="H15" s="5"/>
      <c r="I15" s="111">
        <v>0</v>
      </c>
      <c r="J15" s="111">
        <v>0</v>
      </c>
      <c r="K15" s="5"/>
      <c r="L15" s="111">
        <v>0</v>
      </c>
      <c r="M15" s="111">
        <v>0</v>
      </c>
      <c r="N15" s="5"/>
    </row>
    <row r="16" spans="1:14" ht="15" customHeight="1" x14ac:dyDescent="0.2">
      <c r="C16" s="112">
        <v>5.9000000000000003E-4</v>
      </c>
      <c r="D16" s="112">
        <v>2.48E-3</v>
      </c>
      <c r="E16" s="5"/>
      <c r="F16" s="112">
        <v>2.15E-3</v>
      </c>
      <c r="G16" s="112">
        <v>2.48E-3</v>
      </c>
      <c r="H16" s="5"/>
      <c r="I16" s="112">
        <v>5.9000000000000003E-4</v>
      </c>
      <c r="J16" s="112">
        <v>2.48E-3</v>
      </c>
      <c r="K16" s="5"/>
      <c r="L16" s="112">
        <v>2.15E-3</v>
      </c>
      <c r="M16" s="112">
        <v>2.48E-3</v>
      </c>
      <c r="N16" s="5"/>
    </row>
    <row r="17" spans="3:14" ht="15" customHeight="1" x14ac:dyDescent="0.2">
      <c r="C17" s="112">
        <v>8.8999999999999995E-4</v>
      </c>
      <c r="D17" s="112">
        <v>1.1610000000000001E-2</v>
      </c>
      <c r="E17" s="5"/>
      <c r="F17" s="112">
        <v>2.6900000000000001E-3</v>
      </c>
      <c r="G17" s="112">
        <v>1.1610000000000001E-2</v>
      </c>
      <c r="H17" s="5"/>
      <c r="I17" s="112">
        <v>8.8999999999999995E-4</v>
      </c>
      <c r="J17" s="112">
        <v>1.1610000000000001E-2</v>
      </c>
      <c r="K17" s="5"/>
      <c r="L17" s="112">
        <v>2.6900000000000001E-3</v>
      </c>
      <c r="M17" s="112">
        <v>1.1610000000000001E-2</v>
      </c>
      <c r="N17" s="5"/>
    </row>
    <row r="18" spans="3:14" ht="15" customHeight="1" x14ac:dyDescent="0.2">
      <c r="C18" s="112">
        <v>1.1800000000000001E-3</v>
      </c>
      <c r="D18" s="112">
        <v>0.02</v>
      </c>
      <c r="E18" s="5"/>
      <c r="F18" s="112">
        <v>3.2200000000000002E-3</v>
      </c>
      <c r="G18" s="112">
        <v>0.02</v>
      </c>
      <c r="H18" s="5"/>
      <c r="I18" s="112">
        <v>1.1900000000000001E-3</v>
      </c>
      <c r="J18" s="112">
        <v>0.02</v>
      </c>
      <c r="K18" s="5"/>
      <c r="L18" s="112">
        <v>3.2200000000000002E-3</v>
      </c>
      <c r="M18" s="112">
        <v>0.02</v>
      </c>
      <c r="N18" s="5"/>
    </row>
    <row r="19" spans="3:14" ht="15" customHeight="1" x14ac:dyDescent="0.2">
      <c r="C19" s="112">
        <v>1.48E-3</v>
      </c>
      <c r="D19" s="112">
        <v>2.5000000000000001E-2</v>
      </c>
      <c r="E19" s="5"/>
      <c r="F19" s="112">
        <v>3.7599999999999999E-3</v>
      </c>
      <c r="G19" s="112">
        <v>2.5000000000000001E-2</v>
      </c>
      <c r="H19" s="5"/>
      <c r="I19" s="112">
        <v>1.49E-3</v>
      </c>
      <c r="J19" s="112">
        <v>2.5000000000000001E-2</v>
      </c>
      <c r="K19" s="5"/>
      <c r="L19" s="112">
        <v>3.7599999999999999E-3</v>
      </c>
      <c r="M19" s="112">
        <v>2.5000000000000001E-2</v>
      </c>
      <c r="N19" s="5"/>
    </row>
    <row r="20" spans="3:14" ht="15" customHeight="1" x14ac:dyDescent="0.2">
      <c r="C20" s="112">
        <v>1.7799999999999999E-3</v>
      </c>
      <c r="D20" s="112">
        <v>2.1600000000000001E-2</v>
      </c>
      <c r="E20" s="5"/>
      <c r="F20" s="112">
        <v>4.3E-3</v>
      </c>
      <c r="G20" s="112">
        <v>2.1600000000000001E-2</v>
      </c>
      <c r="H20" s="5"/>
      <c r="I20" s="112">
        <v>1.7899999999999999E-3</v>
      </c>
      <c r="J20" s="112">
        <v>2.1600000000000001E-2</v>
      </c>
      <c r="K20" s="5"/>
      <c r="L20" s="112">
        <v>4.3E-3</v>
      </c>
      <c r="M20" s="112">
        <v>2.1600000000000001E-2</v>
      </c>
      <c r="N20" s="5"/>
    </row>
    <row r="21" spans="3:14" ht="15" customHeight="1" x14ac:dyDescent="0.2">
      <c r="C21" s="112">
        <v>2.0799999999999998E-3</v>
      </c>
      <c r="D21" s="112">
        <v>1.576E-2</v>
      </c>
      <c r="E21" s="5"/>
      <c r="F21" s="112">
        <v>4.8399999999999997E-3</v>
      </c>
      <c r="G21" s="112">
        <v>1.576E-2</v>
      </c>
      <c r="H21" s="5"/>
      <c r="I21" s="112">
        <v>2.0899999999999998E-3</v>
      </c>
      <c r="J21" s="112">
        <v>1.576E-2</v>
      </c>
      <c r="K21" s="5"/>
      <c r="L21" s="112">
        <v>4.8399999999999997E-3</v>
      </c>
      <c r="M21" s="112">
        <v>1.576E-2</v>
      </c>
      <c r="N21" s="5"/>
    </row>
    <row r="22" spans="3:14" ht="15" customHeight="1" x14ac:dyDescent="0.2">
      <c r="C22" s="112">
        <v>2.3700000000000001E-3</v>
      </c>
      <c r="D22" s="112">
        <v>1.1610000000000001E-2</v>
      </c>
      <c r="E22" s="5"/>
      <c r="F22" s="112">
        <v>5.3800000000000002E-3</v>
      </c>
      <c r="G22" s="112">
        <v>1.1610000000000001E-2</v>
      </c>
      <c r="H22" s="5"/>
      <c r="I22" s="112">
        <v>2.3900000000000002E-3</v>
      </c>
      <c r="J22" s="112">
        <v>1.1610000000000001E-2</v>
      </c>
      <c r="K22" s="5"/>
      <c r="L22" s="112">
        <v>5.3800000000000002E-3</v>
      </c>
      <c r="M22" s="112">
        <v>1.1610000000000001E-2</v>
      </c>
      <c r="N22" s="5"/>
    </row>
    <row r="23" spans="3:14" ht="15" customHeight="1" x14ac:dyDescent="0.2">
      <c r="C23" s="112">
        <v>2.6700000000000001E-3</v>
      </c>
      <c r="D23" s="112">
        <v>4.9699999999999996E-3</v>
      </c>
      <c r="E23" s="5"/>
      <c r="F23" s="112">
        <v>5.9199999999999999E-3</v>
      </c>
      <c r="G23" s="112">
        <v>4.9699999999999996E-3</v>
      </c>
      <c r="H23" s="5"/>
      <c r="I23" s="112">
        <v>2.6900000000000001E-3</v>
      </c>
      <c r="J23" s="112">
        <v>4.9699999999999996E-3</v>
      </c>
      <c r="K23" s="5"/>
      <c r="L23" s="112">
        <v>5.9199999999999999E-3</v>
      </c>
      <c r="M23" s="112">
        <v>4.9699999999999996E-3</v>
      </c>
      <c r="N23" s="5"/>
    </row>
    <row r="24" spans="3:14" ht="15" customHeight="1" x14ac:dyDescent="0.2">
      <c r="C24" s="112">
        <v>2.97E-3</v>
      </c>
      <c r="D24" s="112">
        <v>0</v>
      </c>
      <c r="E24" s="5"/>
      <c r="F24" s="112">
        <v>6.45E-3</v>
      </c>
      <c r="G24" s="112">
        <v>0</v>
      </c>
      <c r="H24" s="5"/>
      <c r="I24" s="112">
        <v>2.99E-3</v>
      </c>
      <c r="J24" s="112">
        <v>0</v>
      </c>
      <c r="K24" s="5"/>
      <c r="L24" s="112">
        <v>6.45E-3</v>
      </c>
      <c r="M24" s="112">
        <v>0</v>
      </c>
      <c r="N24" s="5"/>
    </row>
    <row r="25" spans="3:14" ht="15" customHeight="1" x14ac:dyDescent="0.2">
      <c r="C25" s="112">
        <v>3.5599999999999998E-3</v>
      </c>
      <c r="D25" s="112">
        <v>0</v>
      </c>
      <c r="E25" s="5"/>
      <c r="F25" s="112">
        <v>6.9899999999999997E-3</v>
      </c>
      <c r="G25" s="112">
        <v>0</v>
      </c>
      <c r="H25" s="5"/>
      <c r="I25" s="112">
        <v>3.5899999999999999E-3</v>
      </c>
      <c r="J25" s="112">
        <v>0</v>
      </c>
      <c r="K25" s="5"/>
      <c r="L25" s="112">
        <v>6.9899999999999997E-3</v>
      </c>
      <c r="M25" s="112">
        <v>0</v>
      </c>
      <c r="N25" s="5"/>
    </row>
    <row r="26" spans="3:14" ht="15" customHeight="1" x14ac:dyDescent="0.2">
      <c r="C26" s="112">
        <v>4.1599999999999996E-3</v>
      </c>
      <c r="D26" s="112">
        <v>0</v>
      </c>
      <c r="E26" s="5"/>
      <c r="F26" s="112">
        <v>7.5300000000000002E-3</v>
      </c>
      <c r="G26" s="112">
        <v>0</v>
      </c>
      <c r="H26" s="5"/>
      <c r="I26" s="112">
        <v>4.1900000000000001E-3</v>
      </c>
      <c r="J26" s="112">
        <v>0</v>
      </c>
      <c r="K26" s="5"/>
      <c r="L26" s="112">
        <v>7.5300000000000002E-3</v>
      </c>
      <c r="M26" s="112">
        <v>0</v>
      </c>
      <c r="N26" s="5"/>
    </row>
    <row r="27" spans="3:14" ht="15" customHeight="1" x14ac:dyDescent="0.2">
      <c r="C27" s="112">
        <v>4.7499999999999999E-3</v>
      </c>
      <c r="D27" s="112">
        <v>1.82E-3</v>
      </c>
      <c r="E27" s="5"/>
      <c r="F27" s="112">
        <v>8.0700000000000008E-3</v>
      </c>
      <c r="G27" s="112">
        <v>1.82E-3</v>
      </c>
      <c r="H27" s="5"/>
      <c r="I27" s="112">
        <v>4.79E-3</v>
      </c>
      <c r="J27" s="112">
        <v>1.82E-3</v>
      </c>
      <c r="K27" s="5"/>
      <c r="L27" s="112">
        <v>8.0700000000000008E-3</v>
      </c>
      <c r="M27" s="112">
        <v>1.82E-3</v>
      </c>
      <c r="N27" s="5"/>
    </row>
    <row r="28" spans="3:14" ht="15" customHeight="1" x14ac:dyDescent="0.2">
      <c r="C28" s="112">
        <v>5.3499999999999997E-3</v>
      </c>
      <c r="D28" s="112">
        <v>3.7299999999999998E-3</v>
      </c>
      <c r="E28" s="5"/>
      <c r="F28" s="112">
        <v>8.6099999999999996E-3</v>
      </c>
      <c r="G28" s="112">
        <v>3.7299999999999998E-3</v>
      </c>
      <c r="H28" s="5"/>
      <c r="I28" s="112">
        <v>5.3899999999999998E-3</v>
      </c>
      <c r="J28" s="112">
        <v>3.7299999999999998E-3</v>
      </c>
      <c r="K28" s="5"/>
      <c r="L28" s="112">
        <v>8.6099999999999996E-3</v>
      </c>
      <c r="M28" s="112">
        <v>3.7299999999999998E-3</v>
      </c>
      <c r="N28" s="5"/>
    </row>
    <row r="29" spans="3:14" ht="15" customHeight="1" x14ac:dyDescent="0.2">
      <c r="C29" s="112">
        <v>5.94E-3</v>
      </c>
      <c r="D29" s="115">
        <v>3.81E-3</v>
      </c>
      <c r="E29" s="5"/>
      <c r="F29" s="112">
        <v>9.1400000000000006E-3</v>
      </c>
      <c r="G29" s="115">
        <v>3.81E-3</v>
      </c>
      <c r="H29" s="5"/>
      <c r="I29" s="112">
        <v>5.9899999999999997E-3</v>
      </c>
      <c r="J29" s="115">
        <v>3.81E-3</v>
      </c>
      <c r="K29" s="5"/>
      <c r="L29" s="112">
        <v>9.1400000000000006E-3</v>
      </c>
      <c r="M29" s="115">
        <v>3.81E-3</v>
      </c>
      <c r="N29" s="5"/>
    </row>
    <row r="30" spans="3:14" ht="15" customHeight="1" x14ac:dyDescent="0.2">
      <c r="C30" s="112">
        <v>6.5399999999999998E-3</v>
      </c>
      <c r="D30" s="112">
        <v>3.8999999999999998E-3</v>
      </c>
      <c r="E30" s="5"/>
      <c r="F30" s="112">
        <v>9.6799999999999994E-3</v>
      </c>
      <c r="G30" s="112">
        <v>3.8999999999999998E-3</v>
      </c>
      <c r="H30" s="5"/>
      <c r="I30" s="112">
        <v>6.5900000000000004E-3</v>
      </c>
      <c r="J30" s="112">
        <v>3.8999999999999998E-3</v>
      </c>
      <c r="K30" s="5"/>
      <c r="L30" s="112">
        <v>9.6799999999999994E-3</v>
      </c>
      <c r="M30" s="112">
        <v>3.8999999999999998E-3</v>
      </c>
      <c r="N30" s="5"/>
    </row>
    <row r="31" spans="3:14" ht="15" customHeight="1" x14ac:dyDescent="0.2">
      <c r="C31" s="112">
        <v>7.7299999999999999E-3</v>
      </c>
      <c r="D31" s="112">
        <v>6.3899999999999998E-3</v>
      </c>
      <c r="E31" s="5"/>
      <c r="F31" s="112">
        <v>1.022E-2</v>
      </c>
      <c r="G31" s="112">
        <v>6.3899999999999998E-3</v>
      </c>
      <c r="H31" s="5"/>
      <c r="I31" s="112">
        <v>7.79E-3</v>
      </c>
      <c r="J31" s="112">
        <v>6.3899999999999998E-3</v>
      </c>
      <c r="K31" s="5"/>
      <c r="L31" s="112">
        <v>1.022E-2</v>
      </c>
      <c r="M31" s="112">
        <v>6.3899999999999998E-3</v>
      </c>
      <c r="N31" s="5"/>
    </row>
    <row r="32" spans="3:14" ht="15" customHeight="1" x14ac:dyDescent="0.2">
      <c r="C32" s="112">
        <v>8.9200000000000008E-3</v>
      </c>
      <c r="D32" s="112">
        <v>8.4600000000000005E-3</v>
      </c>
      <c r="E32" s="5"/>
      <c r="F32" s="112">
        <v>1.076E-2</v>
      </c>
      <c r="G32" s="112">
        <v>8.4600000000000005E-3</v>
      </c>
      <c r="H32" s="5"/>
      <c r="I32" s="112">
        <v>8.9899999999999997E-3</v>
      </c>
      <c r="J32" s="112">
        <v>8.4600000000000005E-3</v>
      </c>
      <c r="K32" s="5"/>
      <c r="L32" s="112">
        <v>1.076E-2</v>
      </c>
      <c r="M32" s="112">
        <v>8.4600000000000005E-3</v>
      </c>
      <c r="N32" s="5"/>
    </row>
    <row r="33" spans="3:14" ht="15" customHeight="1" x14ac:dyDescent="0.2">
      <c r="C33" s="112">
        <v>1.0109999999999999E-2</v>
      </c>
      <c r="D33" s="112">
        <v>1.95E-2</v>
      </c>
      <c r="E33" s="5"/>
      <c r="F33" s="112">
        <v>1.1299999999999999E-2</v>
      </c>
      <c r="G33" s="112">
        <v>1.95E-2</v>
      </c>
      <c r="H33" s="5"/>
      <c r="I33" s="112">
        <v>1.0189999999999999E-2</v>
      </c>
      <c r="J33" s="112">
        <v>1.95E-2</v>
      </c>
      <c r="K33" s="5"/>
      <c r="L33" s="112">
        <v>1.1299999999999999E-2</v>
      </c>
      <c r="M33" s="112">
        <v>1.95E-2</v>
      </c>
      <c r="N33" s="5"/>
    </row>
    <row r="34" spans="3:14" ht="15" customHeight="1" x14ac:dyDescent="0.2">
      <c r="C34" s="112">
        <v>1.1299999999999999E-2</v>
      </c>
      <c r="D34" s="112">
        <v>3.1859999999999999E-2</v>
      </c>
      <c r="E34" s="5"/>
      <c r="F34" s="112">
        <v>1.184E-2</v>
      </c>
      <c r="G34" s="112">
        <v>3.1859999999999999E-2</v>
      </c>
      <c r="H34" s="5"/>
      <c r="I34" s="112">
        <v>1.1390000000000001E-2</v>
      </c>
      <c r="J34" s="112">
        <v>3.1859999999999999E-2</v>
      </c>
      <c r="K34" s="5"/>
      <c r="L34" s="112">
        <v>1.184E-2</v>
      </c>
      <c r="M34" s="112">
        <v>3.1859999999999999E-2</v>
      </c>
      <c r="N34" s="5"/>
    </row>
    <row r="35" spans="3:14" ht="15" customHeight="1" x14ac:dyDescent="0.2">
      <c r="C35" s="112">
        <v>1.2489999999999999E-2</v>
      </c>
      <c r="D35" s="112">
        <v>4.1070000000000002E-2</v>
      </c>
      <c r="E35" s="5"/>
      <c r="F35" s="112">
        <v>1.2370000000000001E-2</v>
      </c>
      <c r="G35" s="112">
        <v>4.1070000000000002E-2</v>
      </c>
      <c r="H35" s="5"/>
      <c r="I35" s="112">
        <v>1.259E-2</v>
      </c>
      <c r="J35" s="112">
        <v>4.1070000000000002E-2</v>
      </c>
      <c r="K35" s="5"/>
      <c r="L35" s="112">
        <v>1.2370000000000001E-2</v>
      </c>
      <c r="M35" s="112">
        <v>4.1070000000000002E-2</v>
      </c>
      <c r="N35" s="5"/>
    </row>
    <row r="36" spans="3:14" ht="15" customHeight="1" x14ac:dyDescent="0.2">
      <c r="C36" s="112">
        <v>1.37E-2</v>
      </c>
      <c r="D36" s="112">
        <v>4.564E-2</v>
      </c>
      <c r="E36" s="5"/>
      <c r="F36" s="112">
        <v>1.291E-2</v>
      </c>
      <c r="G36" s="112">
        <v>4.564E-2</v>
      </c>
      <c r="H36" s="5"/>
      <c r="I36" s="112">
        <v>1.3809999999999999E-2</v>
      </c>
      <c r="J36" s="112">
        <v>4.564E-2</v>
      </c>
      <c r="K36" s="5"/>
      <c r="L36" s="112">
        <v>1.291E-2</v>
      </c>
      <c r="M36" s="112">
        <v>4.564E-2</v>
      </c>
      <c r="N36" s="5"/>
    </row>
    <row r="37" spans="3:14" ht="15" customHeight="1" x14ac:dyDescent="0.2">
      <c r="C37" s="112">
        <v>1.397E-2</v>
      </c>
      <c r="D37" s="112">
        <v>5.6430000000000001E-2</v>
      </c>
      <c r="E37" s="5"/>
      <c r="F37" s="112">
        <v>1.345E-2</v>
      </c>
      <c r="G37" s="112">
        <v>5.6430000000000001E-2</v>
      </c>
      <c r="H37" s="5"/>
      <c r="I37" s="112">
        <v>1.409E-2</v>
      </c>
      <c r="J37" s="112">
        <v>5.6430000000000001E-2</v>
      </c>
      <c r="K37" s="5"/>
      <c r="L37" s="112">
        <v>1.345E-2</v>
      </c>
      <c r="M37" s="112">
        <v>5.6430000000000001E-2</v>
      </c>
      <c r="N37" s="5"/>
    </row>
    <row r="38" spans="3:14" ht="15" customHeight="1" x14ac:dyDescent="0.2">
      <c r="C38" s="112">
        <v>1.516E-2</v>
      </c>
      <c r="D38" s="112">
        <v>0.11203</v>
      </c>
      <c r="E38" s="5"/>
      <c r="F38" s="112">
        <v>1.453E-2</v>
      </c>
      <c r="G38" s="112">
        <v>0.11203</v>
      </c>
      <c r="H38" s="5"/>
      <c r="I38" s="112">
        <v>1.529E-2</v>
      </c>
      <c r="J38" s="112">
        <v>0.11203</v>
      </c>
      <c r="K38" s="5"/>
      <c r="L38" s="112">
        <v>1.453E-2</v>
      </c>
      <c r="M38" s="112">
        <v>0.11203</v>
      </c>
      <c r="N38" s="5"/>
    </row>
    <row r="39" spans="3:14" ht="15" customHeight="1" x14ac:dyDescent="0.2">
      <c r="C39" s="112">
        <v>1.635E-2</v>
      </c>
      <c r="D39" s="113">
        <v>0.18589</v>
      </c>
      <c r="E39" s="5"/>
      <c r="F39" s="112">
        <v>1.5599999999999999E-2</v>
      </c>
      <c r="G39" s="113">
        <v>0.18589</v>
      </c>
      <c r="H39" s="5"/>
      <c r="I39" s="112">
        <v>1.6490000000000001E-2</v>
      </c>
      <c r="J39" s="113">
        <v>0.18589</v>
      </c>
      <c r="K39" s="5"/>
      <c r="L39" s="112">
        <v>1.5599999999999999E-2</v>
      </c>
      <c r="M39" s="113">
        <v>0.18589</v>
      </c>
      <c r="N39" s="5"/>
    </row>
    <row r="40" spans="3:14" ht="15" customHeight="1" x14ac:dyDescent="0.2">
      <c r="C40" s="112">
        <v>1.754E-2</v>
      </c>
      <c r="D40" s="112">
        <v>0.11618000000000001</v>
      </c>
      <c r="E40" s="5"/>
      <c r="F40" s="112">
        <v>1.669E-2</v>
      </c>
      <c r="G40" s="112">
        <v>0.11618000000000001</v>
      </c>
      <c r="H40" s="5"/>
      <c r="I40" s="112">
        <v>1.78E-2</v>
      </c>
      <c r="J40" s="112">
        <v>0.11618000000000001</v>
      </c>
      <c r="K40" s="5"/>
      <c r="L40" s="112">
        <v>1.669E-2</v>
      </c>
      <c r="M40" s="112">
        <v>0.11618000000000001</v>
      </c>
      <c r="N40" s="5"/>
    </row>
    <row r="41" spans="3:14" ht="15" customHeight="1" x14ac:dyDescent="0.2">
      <c r="C41" s="112">
        <v>1.883E-2</v>
      </c>
      <c r="D41" s="112">
        <v>5.228E-2</v>
      </c>
      <c r="E41" s="5"/>
      <c r="F41" s="112">
        <v>1.7930000000000001E-2</v>
      </c>
      <c r="G41" s="112">
        <v>5.228E-2</v>
      </c>
      <c r="H41" s="5"/>
      <c r="I41" s="112">
        <v>1.8890000000000001E-2</v>
      </c>
      <c r="J41" s="112">
        <v>5.228E-2</v>
      </c>
      <c r="K41" s="5"/>
      <c r="L41" s="112">
        <v>1.7930000000000001E-2</v>
      </c>
      <c r="M41" s="112">
        <v>5.228E-2</v>
      </c>
      <c r="N41" s="5"/>
    </row>
    <row r="42" spans="3:14" ht="15" customHeight="1" x14ac:dyDescent="0.2">
      <c r="C42" s="112">
        <v>2.095E-2</v>
      </c>
      <c r="D42" s="112">
        <v>4.2819999999999997E-2</v>
      </c>
      <c r="E42" s="5"/>
      <c r="F42" s="112">
        <v>1.9910000000000001E-2</v>
      </c>
      <c r="G42" s="112">
        <v>4.2819999999999997E-2</v>
      </c>
      <c r="H42" s="5"/>
      <c r="I42" s="112">
        <v>2.128E-2</v>
      </c>
      <c r="J42" s="112">
        <v>4.2819999999999997E-2</v>
      </c>
      <c r="K42" s="5"/>
      <c r="L42" s="112">
        <v>1.9910000000000001E-2</v>
      </c>
      <c r="M42" s="112">
        <v>4.2819999999999997E-2</v>
      </c>
      <c r="N42" s="5"/>
    </row>
    <row r="43" spans="3:14" ht="15" customHeight="1" x14ac:dyDescent="0.2">
      <c r="C43" s="112">
        <v>1.883E-2</v>
      </c>
      <c r="D43" s="112">
        <v>3.7260000000000001E-2</v>
      </c>
      <c r="E43" s="5"/>
      <c r="F43" s="112">
        <v>1.7930000000000001E-2</v>
      </c>
      <c r="G43" s="112">
        <v>3.7260000000000001E-2</v>
      </c>
      <c r="H43" s="5"/>
      <c r="I43" s="112">
        <v>1.8890000000000001E-2</v>
      </c>
      <c r="J43" s="112">
        <v>3.7260000000000001E-2</v>
      </c>
      <c r="K43" s="5"/>
      <c r="L43" s="112">
        <v>1.7930000000000001E-2</v>
      </c>
      <c r="M43" s="112">
        <v>3.7260000000000001E-2</v>
      </c>
      <c r="N43" s="5"/>
    </row>
    <row r="44" spans="3:14" ht="15" customHeight="1" x14ac:dyDescent="0.2">
      <c r="C44" s="112">
        <v>1.754E-2</v>
      </c>
      <c r="D44" s="112">
        <v>2.58E-2</v>
      </c>
      <c r="E44" s="5"/>
      <c r="F44" s="112">
        <v>1.668E-2</v>
      </c>
      <c r="G44" s="112">
        <v>2.58E-2</v>
      </c>
      <c r="H44" s="5"/>
      <c r="I44" s="112">
        <v>1.78E-2</v>
      </c>
      <c r="J44" s="112">
        <v>2.58E-2</v>
      </c>
      <c r="K44" s="5"/>
      <c r="L44" s="112">
        <v>1.668E-2</v>
      </c>
      <c r="M44" s="112">
        <v>2.58E-2</v>
      </c>
      <c r="N44" s="5"/>
    </row>
    <row r="45" spans="3:14" ht="15" customHeight="1" x14ac:dyDescent="0.2">
      <c r="C45" s="112">
        <v>1.635E-2</v>
      </c>
      <c r="D45" s="112">
        <v>1.319E-2</v>
      </c>
      <c r="E45" s="5"/>
      <c r="F45" s="112">
        <v>1.5599999999999999E-2</v>
      </c>
      <c r="G45" s="112">
        <v>1.319E-2</v>
      </c>
      <c r="H45" s="5"/>
      <c r="I45" s="112">
        <v>1.6490000000000001E-2</v>
      </c>
      <c r="J45" s="112">
        <v>1.319E-2</v>
      </c>
      <c r="K45" s="5"/>
      <c r="L45" s="112">
        <v>1.5599999999999999E-2</v>
      </c>
      <c r="M45" s="112">
        <v>1.319E-2</v>
      </c>
      <c r="N45" s="5"/>
    </row>
    <row r="46" spans="3:14" ht="15" customHeight="1" x14ac:dyDescent="0.2">
      <c r="C46" s="112">
        <v>1.516E-2</v>
      </c>
      <c r="D46" s="112">
        <v>5.7200000000000003E-3</v>
      </c>
      <c r="E46" s="5"/>
      <c r="F46" s="112">
        <v>1.453E-2</v>
      </c>
      <c r="G46" s="112">
        <v>5.7200000000000003E-3</v>
      </c>
      <c r="H46" s="5"/>
      <c r="I46" s="112">
        <v>1.529E-2</v>
      </c>
      <c r="J46" s="112">
        <v>5.7200000000000003E-3</v>
      </c>
      <c r="K46" s="5"/>
      <c r="L46" s="112">
        <v>1.453E-2</v>
      </c>
      <c r="M46" s="112">
        <v>5.7200000000000003E-3</v>
      </c>
      <c r="N46" s="5"/>
    </row>
    <row r="47" spans="3:14" ht="15" customHeight="1" x14ac:dyDescent="0.2">
      <c r="C47" s="112">
        <v>1.397E-2</v>
      </c>
      <c r="D47" s="112">
        <v>4.5599999999999998E-3</v>
      </c>
      <c r="E47" s="5"/>
      <c r="F47" s="112">
        <v>1.345E-2</v>
      </c>
      <c r="G47" s="112">
        <v>4.5599999999999998E-3</v>
      </c>
      <c r="H47" s="5"/>
      <c r="I47" s="112">
        <v>1.409E-2</v>
      </c>
      <c r="J47" s="112">
        <v>4.5599999999999998E-3</v>
      </c>
      <c r="K47" s="5"/>
      <c r="L47" s="112">
        <v>1.345E-2</v>
      </c>
      <c r="M47" s="112">
        <v>4.5599999999999998E-3</v>
      </c>
      <c r="N47" s="5"/>
    </row>
    <row r="48" spans="3:14" ht="15" customHeight="1" x14ac:dyDescent="0.2">
      <c r="C48" s="112">
        <v>1.2789999999999999E-2</v>
      </c>
      <c r="D48" s="112">
        <v>4.0600000000000002E-3</v>
      </c>
      <c r="E48" s="5"/>
      <c r="F48" s="112">
        <v>1.2370000000000001E-2</v>
      </c>
      <c r="G48" s="112">
        <v>4.0600000000000002E-3</v>
      </c>
      <c r="H48" s="5"/>
      <c r="I48" s="112">
        <v>1.289E-2</v>
      </c>
      <c r="J48" s="112">
        <v>4.0600000000000002E-3</v>
      </c>
      <c r="K48" s="5"/>
      <c r="L48" s="112">
        <v>1.2370000000000001E-2</v>
      </c>
      <c r="M48" s="112">
        <v>4.0600000000000002E-3</v>
      </c>
      <c r="N48" s="5"/>
    </row>
    <row r="49" spans="3:14" ht="15" customHeight="1" x14ac:dyDescent="0.2">
      <c r="C49" s="112">
        <v>1.1599999999999999E-2</v>
      </c>
      <c r="D49" s="112">
        <v>3.8999999999999998E-3</v>
      </c>
      <c r="E49" s="5"/>
      <c r="F49" s="112">
        <v>1.1299999999999999E-2</v>
      </c>
      <c r="G49" s="112">
        <v>3.8999999999999998E-3</v>
      </c>
      <c r="H49" s="5"/>
      <c r="I49" s="112">
        <v>1.1690000000000001E-2</v>
      </c>
      <c r="J49" s="112">
        <v>3.8999999999999998E-3</v>
      </c>
      <c r="K49" s="5"/>
      <c r="L49" s="112">
        <v>1.1299999999999999E-2</v>
      </c>
      <c r="M49" s="112">
        <v>3.8999999999999998E-3</v>
      </c>
      <c r="N49" s="5"/>
    </row>
    <row r="50" spans="3:14" ht="15" customHeight="1" x14ac:dyDescent="0.2">
      <c r="C50" s="112">
        <v>1.0410000000000001E-2</v>
      </c>
      <c r="D50" s="112">
        <v>3.48E-3</v>
      </c>
      <c r="E50" s="5"/>
      <c r="F50" s="112">
        <v>1.022E-2</v>
      </c>
      <c r="G50" s="112">
        <v>3.48E-3</v>
      </c>
      <c r="H50" s="5"/>
      <c r="I50" s="112">
        <v>1.0489999999999999E-2</v>
      </c>
      <c r="J50" s="112">
        <v>3.48E-3</v>
      </c>
      <c r="K50" s="5"/>
      <c r="L50" s="112">
        <v>1.022E-2</v>
      </c>
      <c r="M50" s="112">
        <v>3.48E-3</v>
      </c>
      <c r="N50" s="5"/>
    </row>
    <row r="51" spans="3:14" ht="15" customHeight="1" x14ac:dyDescent="0.2">
      <c r="C51" s="112">
        <v>9.2200000000000008E-3</v>
      </c>
      <c r="D51" s="112">
        <v>1.82E-3</v>
      </c>
      <c r="E51" s="5"/>
      <c r="F51" s="112">
        <v>9.1400000000000006E-3</v>
      </c>
      <c r="G51" s="112">
        <v>1.82E-3</v>
      </c>
      <c r="H51" s="5"/>
      <c r="I51" s="112">
        <v>9.2899999999999996E-3</v>
      </c>
      <c r="J51" s="112">
        <v>1.82E-3</v>
      </c>
      <c r="K51" s="5"/>
      <c r="L51" s="112">
        <v>9.1400000000000006E-3</v>
      </c>
      <c r="M51" s="112">
        <v>1.82E-3</v>
      </c>
      <c r="N51" s="5"/>
    </row>
    <row r="52" spans="3:14" ht="15" customHeight="1" x14ac:dyDescent="0.2">
      <c r="C52" s="112">
        <v>8.0300000000000007E-3</v>
      </c>
      <c r="D52" s="112">
        <v>3.15E-3</v>
      </c>
      <c r="E52" s="5"/>
      <c r="F52" s="112">
        <v>8.0700000000000008E-3</v>
      </c>
      <c r="G52" s="112">
        <v>3.15E-3</v>
      </c>
      <c r="H52" s="5"/>
      <c r="I52" s="112">
        <v>8.09E-3</v>
      </c>
      <c r="J52" s="112">
        <v>3.15E-3</v>
      </c>
      <c r="K52" s="5"/>
      <c r="L52" s="112">
        <v>8.0700000000000008E-3</v>
      </c>
      <c r="M52" s="112">
        <v>3.15E-3</v>
      </c>
      <c r="N52" s="5"/>
    </row>
    <row r="53" spans="3:14" ht="15" customHeight="1" x14ac:dyDescent="0.2">
      <c r="C53" s="112">
        <v>6.8399999999999997E-3</v>
      </c>
      <c r="D53" s="112">
        <v>3.5599999999999998E-3</v>
      </c>
      <c r="E53" s="5"/>
      <c r="F53" s="112">
        <v>7.26E-3</v>
      </c>
      <c r="G53" s="112">
        <v>3.5599999999999998E-3</v>
      </c>
      <c r="H53" s="5"/>
      <c r="I53" s="112">
        <v>6.8900000000000003E-3</v>
      </c>
      <c r="J53" s="112">
        <v>3.5599999999999998E-3</v>
      </c>
      <c r="K53" s="5"/>
      <c r="L53" s="112">
        <v>7.26E-3</v>
      </c>
      <c r="M53" s="112">
        <v>3.5599999999999998E-3</v>
      </c>
      <c r="N53" s="5"/>
    </row>
    <row r="54" spans="3:14" ht="15" customHeight="1" x14ac:dyDescent="0.2">
      <c r="C54" s="112">
        <v>5.94E-3</v>
      </c>
      <c r="D54" s="112">
        <v>4.5599999999999998E-3</v>
      </c>
      <c r="E54" s="5"/>
      <c r="F54" s="112">
        <v>6.45E-3</v>
      </c>
      <c r="G54" s="112">
        <v>4.5599999999999998E-3</v>
      </c>
      <c r="H54" s="5"/>
      <c r="I54" s="112">
        <v>5.6899999999999997E-3</v>
      </c>
      <c r="J54" s="112">
        <v>4.5599999999999998E-3</v>
      </c>
      <c r="K54" s="5"/>
      <c r="L54" s="112">
        <v>6.45E-3</v>
      </c>
      <c r="M54" s="112">
        <v>4.5599999999999998E-3</v>
      </c>
      <c r="N54" s="5"/>
    </row>
    <row r="55" spans="3:14" ht="15" customHeight="1" x14ac:dyDescent="0.2">
      <c r="C55" s="112">
        <v>6.8399999999999997E-3</v>
      </c>
      <c r="D55" s="112">
        <v>5.0600000000000003E-3</v>
      </c>
      <c r="E55" s="5"/>
      <c r="F55" s="115">
        <v>6.9899999999999997E-3</v>
      </c>
      <c r="G55" s="112">
        <v>5.0600000000000003E-3</v>
      </c>
      <c r="H55" s="5"/>
      <c r="I55" s="115">
        <v>5.3899999999999998E-3</v>
      </c>
      <c r="J55" s="112">
        <v>5.0600000000000003E-3</v>
      </c>
      <c r="K55" s="5"/>
      <c r="L55" s="115">
        <v>6.9899999999999997E-3</v>
      </c>
      <c r="M55" s="112">
        <v>5.0600000000000003E-3</v>
      </c>
      <c r="N55" s="5"/>
    </row>
    <row r="56" spans="3:14" ht="15" customHeight="1" x14ac:dyDescent="0.2">
      <c r="C56" s="112">
        <v>8.0300000000000007E-3</v>
      </c>
      <c r="D56" s="112">
        <v>7.2100000000000003E-3</v>
      </c>
      <c r="E56" s="5"/>
      <c r="F56" s="112">
        <v>7.5300000000000002E-3</v>
      </c>
      <c r="G56" s="112">
        <v>7.2100000000000003E-3</v>
      </c>
      <c r="H56" s="5"/>
      <c r="I56" s="112">
        <v>5.9899999999999997E-3</v>
      </c>
      <c r="J56" s="112">
        <v>7.2100000000000003E-3</v>
      </c>
      <c r="K56" s="5"/>
      <c r="L56" s="112">
        <v>7.5300000000000002E-3</v>
      </c>
      <c r="M56" s="112">
        <v>7.2100000000000003E-3</v>
      </c>
      <c r="N56" s="5"/>
    </row>
    <row r="57" spans="3:14" ht="15" customHeight="1" x14ac:dyDescent="0.2">
      <c r="C57" s="112">
        <v>1.0109999999999999E-2</v>
      </c>
      <c r="D57" s="112">
        <v>8.2900000000000005E-3</v>
      </c>
      <c r="E57" s="5"/>
      <c r="F57" s="112">
        <v>9.1400000000000006E-3</v>
      </c>
      <c r="G57" s="112">
        <v>8.2900000000000005E-3</v>
      </c>
      <c r="H57" s="5"/>
      <c r="I57" s="112">
        <v>7.79E-3</v>
      </c>
      <c r="J57" s="112">
        <v>8.2900000000000005E-3</v>
      </c>
      <c r="K57" s="5"/>
      <c r="L57" s="112">
        <v>9.1400000000000006E-3</v>
      </c>
      <c r="M57" s="112">
        <v>8.2900000000000005E-3</v>
      </c>
      <c r="N57" s="5"/>
    </row>
    <row r="58" spans="3:14" ht="15" customHeight="1" x14ac:dyDescent="0.2">
      <c r="C58" s="112">
        <v>1.2189999999999999E-2</v>
      </c>
      <c r="D58" s="112">
        <v>8.4600000000000005E-3</v>
      </c>
      <c r="E58" s="5"/>
      <c r="F58" s="112">
        <v>1.103E-2</v>
      </c>
      <c r="G58" s="112">
        <v>8.4600000000000005E-3</v>
      </c>
      <c r="H58" s="5"/>
      <c r="I58" s="112">
        <v>8.9899999999999997E-3</v>
      </c>
      <c r="J58" s="112">
        <v>8.4600000000000005E-3</v>
      </c>
      <c r="K58" s="5"/>
      <c r="L58" s="112">
        <v>1.103E-2</v>
      </c>
      <c r="M58" s="112">
        <v>8.4600000000000005E-3</v>
      </c>
      <c r="N58" s="5"/>
    </row>
    <row r="59" spans="3:14" ht="15" customHeight="1" x14ac:dyDescent="0.2">
      <c r="C59" s="112">
        <v>1.427E-2</v>
      </c>
      <c r="D59" s="112">
        <v>6.0499999999999998E-3</v>
      </c>
      <c r="E59" s="5"/>
      <c r="F59" s="112">
        <v>1.291E-2</v>
      </c>
      <c r="G59" s="112">
        <v>6.0499999999999998E-3</v>
      </c>
      <c r="H59" s="5"/>
      <c r="I59" s="112">
        <v>1.319E-2</v>
      </c>
      <c r="J59" s="112">
        <v>6.0499999999999998E-3</v>
      </c>
      <c r="K59" s="5"/>
      <c r="L59" s="112">
        <v>1.291E-2</v>
      </c>
      <c r="M59" s="112">
        <v>6.0499999999999998E-3</v>
      </c>
      <c r="N59" s="5"/>
    </row>
    <row r="60" spans="3:14" ht="15" customHeight="1" x14ac:dyDescent="0.2">
      <c r="C60" s="112">
        <v>1.6060000000000001E-2</v>
      </c>
      <c r="D60" s="112">
        <v>4.2300000000000003E-3</v>
      </c>
      <c r="E60" s="5"/>
      <c r="F60" s="112">
        <v>1.453E-2</v>
      </c>
      <c r="G60" s="112">
        <v>4.2300000000000003E-3</v>
      </c>
      <c r="H60" s="5"/>
      <c r="I60" s="112">
        <v>1.6789999999999999E-2</v>
      </c>
      <c r="J60" s="112">
        <v>4.2300000000000003E-3</v>
      </c>
      <c r="K60" s="5"/>
      <c r="L60" s="112">
        <v>1.453E-2</v>
      </c>
      <c r="M60" s="112">
        <v>4.2300000000000003E-3</v>
      </c>
      <c r="N60" s="5"/>
    </row>
    <row r="61" spans="3:14" ht="15" customHeight="1" x14ac:dyDescent="0.2">
      <c r="C61" s="112">
        <v>1.7250000000000001E-2</v>
      </c>
      <c r="D61" s="112">
        <v>2.98E-3</v>
      </c>
      <c r="E61" s="5"/>
      <c r="F61" s="112">
        <v>1.5599999999999999E-2</v>
      </c>
      <c r="G61" s="112">
        <v>2.98E-3</v>
      </c>
      <c r="H61" s="5"/>
      <c r="I61" s="112">
        <v>1.8589999999999999E-2</v>
      </c>
      <c r="J61" s="112">
        <v>2.98E-3</v>
      </c>
      <c r="K61" s="5"/>
      <c r="L61" s="112">
        <v>1.5599999999999999E-2</v>
      </c>
      <c r="M61" s="112">
        <v>2.98E-3</v>
      </c>
      <c r="N61" s="5"/>
    </row>
    <row r="62" spans="3:14" ht="15" customHeight="1" x14ac:dyDescent="0.2">
      <c r="C62" s="112">
        <v>1.7840000000000002E-2</v>
      </c>
      <c r="D62" s="112">
        <v>1.41E-3</v>
      </c>
      <c r="E62" s="5"/>
      <c r="F62" s="112">
        <v>1.6140000000000002E-2</v>
      </c>
      <c r="G62" s="112">
        <v>1.41E-3</v>
      </c>
      <c r="H62" s="5"/>
      <c r="I62" s="112">
        <v>1.9189999999999999E-2</v>
      </c>
      <c r="J62" s="112">
        <v>1.41E-3</v>
      </c>
      <c r="K62" s="5"/>
      <c r="L62" s="112">
        <v>1.6140000000000002E-2</v>
      </c>
      <c r="M62" s="112">
        <v>1.41E-3</v>
      </c>
      <c r="N62" s="5"/>
    </row>
    <row r="63" spans="3:14" ht="15" customHeight="1" x14ac:dyDescent="0.2">
      <c r="C63" s="112">
        <v>1.992E-2</v>
      </c>
      <c r="D63" s="114">
        <v>4.0999999999999999E-4</v>
      </c>
      <c r="E63" s="5"/>
      <c r="F63" s="112">
        <v>1.8030000000000001E-2</v>
      </c>
      <c r="G63" s="114">
        <v>4.0999999999999999E-4</v>
      </c>
      <c r="H63" s="5"/>
      <c r="I63" s="112">
        <v>2.3990000000000001E-2</v>
      </c>
      <c r="J63" s="114">
        <v>4.0999999999999999E-4</v>
      </c>
      <c r="K63" s="5"/>
      <c r="L63" s="112">
        <v>1.8030000000000001E-2</v>
      </c>
      <c r="M63" s="114">
        <v>4.0999999999999999E-4</v>
      </c>
      <c r="N63" s="5"/>
    </row>
    <row r="64" spans="3:14" ht="15" customHeight="1" x14ac:dyDescent="0.2">
      <c r="C64" s="112">
        <v>2.1409999999999998E-2</v>
      </c>
      <c r="D64" s="5"/>
      <c r="E64" s="5"/>
      <c r="F64" s="112">
        <v>1.9369999999999998E-2</v>
      </c>
      <c r="G64" s="5"/>
      <c r="H64" s="5"/>
      <c r="I64" s="112">
        <v>2.699E-2</v>
      </c>
      <c r="J64" s="5"/>
      <c r="K64" s="5"/>
      <c r="L64" s="112">
        <v>1.9369999999999998E-2</v>
      </c>
      <c r="M64" s="5"/>
      <c r="N64" s="5"/>
    </row>
    <row r="65" spans="3:14" ht="15" customHeight="1" x14ac:dyDescent="0.2">
      <c r="C65" s="112">
        <v>2.5579999999999999E-2</v>
      </c>
      <c r="D65" s="5"/>
      <c r="E65" s="5"/>
      <c r="F65" s="112">
        <v>2.3140000000000001E-2</v>
      </c>
      <c r="G65" s="5"/>
      <c r="H65" s="5"/>
      <c r="I65" s="112">
        <v>2.819E-2</v>
      </c>
      <c r="J65" s="5"/>
      <c r="K65" s="5"/>
      <c r="L65" s="112">
        <v>2.3140000000000001E-2</v>
      </c>
      <c r="M65" s="5"/>
      <c r="N65" s="5"/>
    </row>
    <row r="66" spans="3:14" ht="15" customHeight="1" x14ac:dyDescent="0.2">
      <c r="C66" s="112">
        <v>2.647E-2</v>
      </c>
      <c r="D66" s="5"/>
      <c r="E66" s="5"/>
      <c r="F66" s="112">
        <v>2.3949999999999999E-2</v>
      </c>
      <c r="G66" s="5"/>
      <c r="H66" s="5"/>
      <c r="I66" s="112">
        <v>2.9389999999999999E-2</v>
      </c>
      <c r="J66" s="5"/>
      <c r="K66" s="5"/>
      <c r="L66" s="112">
        <v>2.3949999999999999E-2</v>
      </c>
      <c r="M66" s="5"/>
      <c r="N66" s="5"/>
    </row>
    <row r="67" spans="3:14" ht="15" customHeight="1" x14ac:dyDescent="0.2">
      <c r="C67" s="112">
        <v>2.7660000000000001E-2</v>
      </c>
      <c r="D67" s="5"/>
      <c r="E67" s="5"/>
      <c r="F67" s="112">
        <v>2.5020000000000001E-2</v>
      </c>
      <c r="G67" s="5"/>
      <c r="H67" s="5"/>
      <c r="I67" s="112">
        <v>3.0589999999999999E-2</v>
      </c>
      <c r="J67" s="5"/>
      <c r="K67" s="5"/>
      <c r="L67" s="112">
        <v>2.5020000000000001E-2</v>
      </c>
      <c r="M67" s="5"/>
      <c r="N67" s="5"/>
    </row>
    <row r="68" spans="3:14" ht="15" customHeight="1" x14ac:dyDescent="0.2">
      <c r="C68" s="112">
        <v>3.807E-2</v>
      </c>
      <c r="D68" s="5"/>
      <c r="E68" s="5"/>
      <c r="F68" s="112">
        <v>3.4439999999999998E-2</v>
      </c>
      <c r="G68" s="5"/>
      <c r="H68" s="5"/>
      <c r="I68" s="112">
        <v>3.6589999999999998E-2</v>
      </c>
      <c r="J68" s="5"/>
      <c r="K68" s="5"/>
      <c r="L68" s="112">
        <v>3.4439999999999998E-2</v>
      </c>
      <c r="M68" s="5"/>
      <c r="N68" s="5"/>
    </row>
    <row r="69" spans="3:14" ht="15" customHeight="1" x14ac:dyDescent="0.2">
      <c r="C69" s="113">
        <v>7.8520000000000006E-2</v>
      </c>
      <c r="D69" s="5"/>
      <c r="E69" s="5"/>
      <c r="F69" s="113">
        <v>7.1040000000000006E-2</v>
      </c>
      <c r="G69" s="5"/>
      <c r="H69" s="5"/>
      <c r="I69" s="113">
        <v>8.3379999999999996E-2</v>
      </c>
      <c r="J69" s="5"/>
      <c r="K69" s="5"/>
      <c r="L69" s="113">
        <v>7.1040000000000006E-2</v>
      </c>
      <c r="M69" s="5"/>
      <c r="N69" s="5"/>
    </row>
    <row r="70" spans="3:14" ht="15" customHeight="1" x14ac:dyDescent="0.2">
      <c r="C70" s="112">
        <v>4.283E-2</v>
      </c>
      <c r="D70" s="5"/>
      <c r="E70" s="5"/>
      <c r="F70" s="112">
        <v>3.875E-2</v>
      </c>
      <c r="G70" s="5"/>
      <c r="H70" s="5"/>
      <c r="I70" s="112">
        <v>4.3790000000000003E-2</v>
      </c>
      <c r="J70" s="5"/>
      <c r="K70" s="5"/>
      <c r="L70" s="112">
        <v>3.875E-2</v>
      </c>
      <c r="M70" s="5"/>
      <c r="N70" s="5"/>
    </row>
    <row r="71" spans="3:14" ht="15" customHeight="1" x14ac:dyDescent="0.2">
      <c r="C71" s="112">
        <v>3.3309999999999999E-2</v>
      </c>
      <c r="D71" s="5"/>
      <c r="E71" s="5"/>
      <c r="F71" s="112">
        <v>3.0130000000000001E-2</v>
      </c>
      <c r="G71" s="5"/>
      <c r="H71" s="5"/>
      <c r="I71" s="112">
        <v>3.4189999999999998E-2</v>
      </c>
      <c r="J71" s="5"/>
      <c r="K71" s="5"/>
      <c r="L71" s="112">
        <v>3.0130000000000001E-2</v>
      </c>
      <c r="M71" s="5"/>
      <c r="N71" s="5"/>
    </row>
    <row r="72" spans="3:14" ht="15" customHeight="1" x14ac:dyDescent="0.2">
      <c r="C72" s="112">
        <v>2.9739999999999999E-2</v>
      </c>
      <c r="D72" s="5"/>
      <c r="E72" s="5"/>
      <c r="F72" s="112">
        <v>2.691E-2</v>
      </c>
      <c r="G72" s="5"/>
      <c r="H72" s="5"/>
      <c r="I72" s="112">
        <v>2.9389999999999999E-2</v>
      </c>
      <c r="J72" s="5"/>
      <c r="K72" s="5"/>
      <c r="L72" s="112">
        <v>2.691E-2</v>
      </c>
      <c r="M72" s="5"/>
      <c r="N72" s="5"/>
    </row>
    <row r="73" spans="3:14" ht="15" customHeight="1" x14ac:dyDescent="0.2">
      <c r="C73" s="112">
        <v>2.647E-2</v>
      </c>
      <c r="D73" s="5"/>
      <c r="E73" s="5"/>
      <c r="F73" s="112">
        <v>2.3949999999999999E-2</v>
      </c>
      <c r="G73" s="5"/>
      <c r="H73" s="5"/>
      <c r="I73" s="112">
        <v>2.819E-2</v>
      </c>
      <c r="J73" s="5"/>
      <c r="K73" s="5"/>
      <c r="L73" s="112">
        <v>2.3949999999999999E-2</v>
      </c>
      <c r="M73" s="5"/>
      <c r="N73" s="5"/>
    </row>
    <row r="74" spans="3:14" ht="15" customHeight="1" x14ac:dyDescent="0.2">
      <c r="C74" s="112">
        <v>2.5870000000000001E-2</v>
      </c>
      <c r="D74" s="5"/>
      <c r="E74" s="5"/>
      <c r="F74" s="112">
        <v>2.341E-2</v>
      </c>
      <c r="G74" s="5"/>
      <c r="H74" s="5"/>
      <c r="I74" s="112">
        <v>2.759E-2</v>
      </c>
      <c r="J74" s="5"/>
      <c r="K74" s="5"/>
      <c r="L74" s="112">
        <v>2.341E-2</v>
      </c>
      <c r="M74" s="5"/>
      <c r="N74" s="5"/>
    </row>
    <row r="75" spans="3:14" ht="15" customHeight="1" x14ac:dyDescent="0.2">
      <c r="C75" s="112">
        <v>2.409E-2</v>
      </c>
      <c r="D75" s="5"/>
      <c r="E75" s="5"/>
      <c r="F75" s="112">
        <v>2.179E-2</v>
      </c>
      <c r="G75" s="5"/>
      <c r="H75" s="5"/>
      <c r="I75" s="112">
        <v>2.2190000000000001E-2</v>
      </c>
      <c r="J75" s="5"/>
      <c r="K75" s="5"/>
      <c r="L75" s="112">
        <v>2.179E-2</v>
      </c>
      <c r="M75" s="5"/>
      <c r="N75" s="5"/>
    </row>
    <row r="76" spans="3:14" ht="15" customHeight="1" x14ac:dyDescent="0.2">
      <c r="C76" s="112">
        <v>2.052E-2</v>
      </c>
      <c r="D76" s="5"/>
      <c r="E76" s="5"/>
      <c r="F76" s="112">
        <v>1.856E-2</v>
      </c>
      <c r="G76" s="5"/>
      <c r="H76" s="5"/>
      <c r="I76" s="112">
        <v>1.8589999999999999E-2</v>
      </c>
      <c r="J76" s="5"/>
      <c r="K76" s="5"/>
      <c r="L76" s="112">
        <v>1.856E-2</v>
      </c>
      <c r="M76" s="5"/>
      <c r="N76" s="5"/>
    </row>
    <row r="77" spans="3:14" ht="15" customHeight="1" x14ac:dyDescent="0.2">
      <c r="C77" s="112">
        <v>1.933E-2</v>
      </c>
      <c r="D77" s="5"/>
      <c r="E77" s="5"/>
      <c r="F77" s="112">
        <v>1.7489999999999999E-2</v>
      </c>
      <c r="G77" s="5"/>
      <c r="H77" s="5"/>
      <c r="I77" s="112">
        <v>1.6789999999999999E-2</v>
      </c>
      <c r="J77" s="5"/>
      <c r="K77" s="5"/>
      <c r="L77" s="112">
        <v>1.7489999999999999E-2</v>
      </c>
      <c r="M77" s="5"/>
      <c r="N77" s="5"/>
    </row>
    <row r="78" spans="3:14" ht="15" customHeight="1" x14ac:dyDescent="0.2">
      <c r="C78" s="112">
        <v>1.8440000000000002E-2</v>
      </c>
      <c r="D78" s="5"/>
      <c r="E78" s="5"/>
      <c r="F78" s="112">
        <v>1.668E-2</v>
      </c>
      <c r="G78" s="5"/>
      <c r="H78" s="5"/>
      <c r="I78" s="112">
        <v>1.499E-2</v>
      </c>
      <c r="J78" s="5"/>
      <c r="K78" s="5"/>
      <c r="L78" s="112">
        <v>1.668E-2</v>
      </c>
      <c r="M78" s="5"/>
      <c r="N78" s="5"/>
    </row>
    <row r="79" spans="3:14" ht="15" customHeight="1" x14ac:dyDescent="0.2">
      <c r="C79" s="112">
        <v>1.6060000000000001E-2</v>
      </c>
      <c r="D79" s="5"/>
      <c r="E79" s="5"/>
      <c r="F79" s="112">
        <v>1.453E-2</v>
      </c>
      <c r="G79" s="5"/>
      <c r="H79" s="5"/>
      <c r="I79" s="112">
        <v>1.1990000000000001E-2</v>
      </c>
      <c r="J79" s="5"/>
      <c r="K79" s="5"/>
      <c r="L79" s="112">
        <v>1.453E-2</v>
      </c>
      <c r="M79" s="5"/>
      <c r="N79" s="5"/>
    </row>
    <row r="80" spans="3:14" ht="15" customHeight="1" x14ac:dyDescent="0.2">
      <c r="C80" s="112">
        <v>1.2789999999999999E-2</v>
      </c>
      <c r="D80" s="5"/>
      <c r="E80" s="5"/>
      <c r="F80" s="112">
        <v>1.157E-2</v>
      </c>
      <c r="G80" s="5"/>
      <c r="H80" s="5"/>
      <c r="I80" s="112">
        <v>8.3899999999999999E-3</v>
      </c>
      <c r="J80" s="5"/>
      <c r="K80" s="5"/>
      <c r="L80" s="112">
        <v>1.157E-2</v>
      </c>
      <c r="M80" s="5"/>
      <c r="N80" s="5"/>
    </row>
    <row r="81" spans="3:14" ht="15" customHeight="1" x14ac:dyDescent="0.2">
      <c r="C81" s="112">
        <v>1.0109999999999999E-2</v>
      </c>
      <c r="D81" s="5"/>
      <c r="E81" s="5"/>
      <c r="F81" s="112">
        <v>9.1400000000000006E-3</v>
      </c>
      <c r="G81" s="5"/>
      <c r="H81" s="5"/>
      <c r="I81" s="112">
        <v>7.1900000000000002E-3</v>
      </c>
      <c r="J81" s="5"/>
      <c r="K81" s="5"/>
      <c r="L81" s="112">
        <v>9.1400000000000006E-3</v>
      </c>
      <c r="M81" s="5"/>
      <c r="N81" s="5"/>
    </row>
    <row r="82" spans="3:14" ht="15" customHeight="1" x14ac:dyDescent="0.2">
      <c r="C82" s="112">
        <v>7.43E-3</v>
      </c>
      <c r="D82" s="5"/>
      <c r="E82" s="5"/>
      <c r="F82" s="112">
        <v>8.0700000000000008E-3</v>
      </c>
      <c r="G82" s="5"/>
      <c r="H82" s="5"/>
      <c r="I82" s="112">
        <v>5.9899999999999997E-3</v>
      </c>
      <c r="J82" s="5"/>
      <c r="K82" s="5"/>
      <c r="L82" s="112">
        <v>8.0700000000000008E-3</v>
      </c>
      <c r="M82" s="5"/>
      <c r="N82" s="5"/>
    </row>
    <row r="83" spans="3:14" ht="15" customHeight="1" x14ac:dyDescent="0.2">
      <c r="C83" s="112">
        <v>4.7499999999999999E-3</v>
      </c>
      <c r="D83" s="5"/>
      <c r="E83" s="5"/>
      <c r="F83" s="112">
        <v>7.26E-3</v>
      </c>
      <c r="G83" s="5"/>
      <c r="H83" s="5"/>
      <c r="I83" s="112">
        <v>4.79E-3</v>
      </c>
      <c r="J83" s="5"/>
      <c r="K83" s="5"/>
      <c r="L83" s="112">
        <v>7.26E-3</v>
      </c>
      <c r="M83" s="5"/>
      <c r="N83" s="5"/>
    </row>
    <row r="84" spans="3:14" ht="15" customHeight="1" x14ac:dyDescent="0.2">
      <c r="C84" s="112">
        <v>3.5599999999999998E-3</v>
      </c>
      <c r="D84" s="5"/>
      <c r="E84" s="5"/>
      <c r="F84" s="112">
        <v>6.7200000000000003E-3</v>
      </c>
      <c r="G84" s="5"/>
      <c r="H84" s="5"/>
      <c r="I84" s="112">
        <v>3.5899999999999999E-3</v>
      </c>
      <c r="J84" s="5"/>
      <c r="K84" s="5"/>
      <c r="L84" s="112">
        <v>6.7200000000000003E-3</v>
      </c>
      <c r="M84" s="5"/>
      <c r="N84" s="5"/>
    </row>
    <row r="85" spans="3:14" ht="15" customHeight="1" x14ac:dyDescent="0.2">
      <c r="C85" s="112">
        <v>2.3700000000000001E-3</v>
      </c>
      <c r="D85" s="5"/>
      <c r="E85" s="5"/>
      <c r="F85" s="112">
        <v>6.1799999999999997E-3</v>
      </c>
      <c r="G85" s="5"/>
      <c r="H85" s="5"/>
      <c r="I85" s="112">
        <v>2.3900000000000002E-3</v>
      </c>
      <c r="J85" s="5"/>
      <c r="K85" s="5"/>
      <c r="L85" s="112">
        <v>6.1799999999999997E-3</v>
      </c>
      <c r="M85" s="5"/>
      <c r="N85" s="5"/>
    </row>
    <row r="86" spans="3:14" ht="15" customHeight="1" x14ac:dyDescent="0.2">
      <c r="C86" s="112">
        <v>1.48E-3</v>
      </c>
      <c r="D86" s="5"/>
      <c r="E86" s="5"/>
      <c r="F86" s="112">
        <v>5.6499999999999996E-3</v>
      </c>
      <c r="G86" s="5"/>
      <c r="H86" s="5"/>
      <c r="I86" s="112">
        <v>1.49E-3</v>
      </c>
      <c r="J86" s="5"/>
      <c r="K86" s="5"/>
      <c r="L86" s="112">
        <v>5.6499999999999996E-3</v>
      </c>
      <c r="M86" s="5"/>
      <c r="N86" s="5"/>
    </row>
    <row r="87" spans="3:14" ht="15" customHeight="1" x14ac:dyDescent="0.2">
      <c r="C87" s="114">
        <v>5.9000000000000003E-4</v>
      </c>
      <c r="D87" s="5"/>
      <c r="E87" s="5"/>
      <c r="F87" s="114">
        <v>5.11E-3</v>
      </c>
      <c r="G87" s="5"/>
      <c r="H87" s="5"/>
      <c r="I87" s="114">
        <v>5.9000000000000003E-4</v>
      </c>
      <c r="J87" s="5"/>
      <c r="K87" s="5"/>
      <c r="L87" s="114">
        <v>5.11E-3</v>
      </c>
      <c r="M87" s="5"/>
      <c r="N87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zoomScale="90" zoomScaleNormal="90" workbookViewId="0">
      <selection activeCell="I2" sqref="I2"/>
    </sheetView>
  </sheetViews>
  <sheetFormatPr defaultColWidth="9.7109375" defaultRowHeight="15.95" customHeight="1" x14ac:dyDescent="0.25"/>
  <sheetData>
    <row r="2" spans="2:10" ht="15.95" customHeight="1" x14ac:dyDescent="0.25">
      <c r="J2" s="176"/>
    </row>
    <row r="4" spans="2:10" ht="15.95" customHeight="1" x14ac:dyDescent="0.3">
      <c r="B4" s="178" t="s">
        <v>216</v>
      </c>
      <c r="C4" s="178"/>
      <c r="D4" s="178"/>
      <c r="E4" s="178"/>
      <c r="F4" s="178"/>
      <c r="G4" s="178"/>
      <c r="H4" s="178"/>
    </row>
    <row r="5" spans="2:10" ht="15.95" customHeight="1" x14ac:dyDescent="0.25">
      <c r="B5" s="179" t="s">
        <v>230</v>
      </c>
      <c r="C5" s="179"/>
      <c r="D5" s="179"/>
      <c r="E5" s="179"/>
      <c r="F5" s="179"/>
      <c r="G5" s="179"/>
      <c r="H5" s="179"/>
    </row>
    <row r="8" spans="2:10" ht="15.95" customHeight="1" x14ac:dyDescent="0.25">
      <c r="B8" s="9" t="s">
        <v>181</v>
      </c>
    </row>
    <row r="9" spans="2:10" ht="15.95" customHeight="1" x14ac:dyDescent="0.25">
      <c r="B9" s="9" t="s">
        <v>182</v>
      </c>
    </row>
    <row r="10" spans="2:10" ht="15.95" customHeight="1" x14ac:dyDescent="0.25">
      <c r="B10" s="9" t="s">
        <v>183</v>
      </c>
    </row>
    <row r="12" spans="2:10" ht="15.95" customHeight="1" x14ac:dyDescent="0.25">
      <c r="B12" s="9" t="s">
        <v>184</v>
      </c>
    </row>
    <row r="13" spans="2:10" ht="15.95" customHeight="1" x14ac:dyDescent="0.25">
      <c r="B13" s="9" t="s">
        <v>185</v>
      </c>
    </row>
    <row r="14" spans="2:10" ht="15.95" customHeight="1" x14ac:dyDescent="0.25">
      <c r="B14" s="9" t="s">
        <v>186</v>
      </c>
    </row>
    <row r="15" spans="2:10" ht="15.95" customHeight="1" x14ac:dyDescent="0.25">
      <c r="B15" s="9" t="s">
        <v>187</v>
      </c>
    </row>
    <row r="17" spans="2:10" ht="15.95" customHeight="1" x14ac:dyDescent="0.25">
      <c r="B17" s="9" t="s">
        <v>188</v>
      </c>
    </row>
    <row r="18" spans="2:10" ht="15.95" customHeight="1" x14ac:dyDescent="0.25">
      <c r="B18" s="9" t="s">
        <v>189</v>
      </c>
    </row>
    <row r="19" spans="2:10" ht="15.95" customHeight="1" x14ac:dyDescent="0.25">
      <c r="B19" s="9" t="s">
        <v>190</v>
      </c>
    </row>
    <row r="20" spans="2:10" ht="15.95" customHeight="1" x14ac:dyDescent="0.25">
      <c r="B20" s="9" t="s">
        <v>191</v>
      </c>
    </row>
    <row r="21" spans="2:10" ht="15.95" customHeight="1" x14ac:dyDescent="0.25">
      <c r="B21" s="9" t="s">
        <v>192</v>
      </c>
    </row>
    <row r="22" spans="2:10" ht="15.95" customHeight="1" x14ac:dyDescent="0.25">
      <c r="B22" s="9" t="s">
        <v>193</v>
      </c>
    </row>
    <row r="23" spans="2:10" ht="15.95" customHeight="1" x14ac:dyDescent="0.25">
      <c r="B23" s="9" t="s">
        <v>194</v>
      </c>
    </row>
    <row r="25" spans="2:10" ht="15.95" customHeight="1" x14ac:dyDescent="0.25">
      <c r="B25" s="177" t="s">
        <v>215</v>
      </c>
      <c r="C25" s="177"/>
      <c r="D25" s="177"/>
      <c r="E25" s="177"/>
      <c r="F25" s="177"/>
      <c r="G25" s="177"/>
      <c r="H25" s="177"/>
      <c r="I25" s="177"/>
      <c r="J25" s="177"/>
    </row>
    <row r="26" spans="2:10" ht="15.95" customHeight="1" x14ac:dyDescent="0.25">
      <c r="B26" s="159" t="s">
        <v>214</v>
      </c>
      <c r="D26" s="159"/>
    </row>
    <row r="28" spans="2:10" ht="15.95" customHeight="1" x14ac:dyDescent="0.25">
      <c r="B28" s="9" t="s">
        <v>195</v>
      </c>
    </row>
    <row r="29" spans="2:10" ht="15.95" customHeight="1" x14ac:dyDescent="0.25">
      <c r="B29" s="9" t="s">
        <v>196</v>
      </c>
    </row>
    <row r="31" spans="2:10" ht="15.95" customHeight="1" x14ac:dyDescent="0.25">
      <c r="C31" s="9" t="s">
        <v>197</v>
      </c>
    </row>
    <row r="32" spans="2:10" ht="15.95" customHeight="1" x14ac:dyDescent="0.25">
      <c r="C32" s="9" t="s">
        <v>198</v>
      </c>
    </row>
    <row r="33" spans="3:4" ht="15.95" customHeight="1" x14ac:dyDescent="0.25">
      <c r="C33" s="9" t="s">
        <v>199</v>
      </c>
      <c r="D33" s="157" t="s">
        <v>200</v>
      </c>
    </row>
    <row r="34" spans="3:4" ht="15.95" customHeight="1" x14ac:dyDescent="0.25">
      <c r="C34" s="9" t="s">
        <v>201</v>
      </c>
      <c r="D34" s="158" t="s">
        <v>202</v>
      </c>
    </row>
    <row r="35" spans="3:4" ht="15.95" customHeight="1" x14ac:dyDescent="0.25">
      <c r="C35" s="9" t="s">
        <v>203</v>
      </c>
      <c r="D35" s="158" t="s">
        <v>204</v>
      </c>
    </row>
    <row r="36" spans="3:4" ht="15.95" customHeight="1" x14ac:dyDescent="0.25">
      <c r="C36" s="9" t="s">
        <v>205</v>
      </c>
      <c r="D36" s="158" t="s">
        <v>206</v>
      </c>
    </row>
    <row r="37" spans="3:4" ht="15.95" customHeight="1" x14ac:dyDescent="0.25">
      <c r="C37" s="9"/>
      <c r="D37" s="158" t="s">
        <v>207</v>
      </c>
    </row>
    <row r="38" spans="3:4" ht="15.95" customHeight="1" x14ac:dyDescent="0.25">
      <c r="C38" s="9"/>
      <c r="D38" s="158" t="s">
        <v>208</v>
      </c>
    </row>
    <row r="39" spans="3:4" ht="15.95" customHeight="1" x14ac:dyDescent="0.25">
      <c r="C39" s="9"/>
      <c r="D39" s="158" t="s">
        <v>209</v>
      </c>
    </row>
    <row r="40" spans="3:4" ht="15.95" customHeight="1" x14ac:dyDescent="0.25">
      <c r="C40" s="9" t="s">
        <v>210</v>
      </c>
      <c r="D40" s="158" t="s">
        <v>211</v>
      </c>
    </row>
    <row r="41" spans="3:4" ht="15.95" customHeight="1" x14ac:dyDescent="0.25">
      <c r="C41" s="9"/>
      <c r="D41" s="158" t="s">
        <v>212</v>
      </c>
    </row>
  </sheetData>
  <mergeCells count="3">
    <mergeCell ref="B25:J25"/>
    <mergeCell ref="B4:H4"/>
    <mergeCell ref="B5:H5"/>
  </mergeCells>
  <hyperlinks>
    <hyperlink ref="D33" r:id="rId1"/>
    <hyperlink ref="B26" r:id="rId2" display="https://fortress.wa.gov/ecy/publications/SummaryPages/1511013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 calcs</vt:lpstr>
      <vt:lpstr>T-storm CN</vt:lpstr>
      <vt:lpstr>East storms</vt:lpstr>
      <vt:lpstr>West storms</vt:lpstr>
      <vt:lpstr>ReadMe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mwal461</dc:creator>
  <cp:lastModifiedBy>mwal461</cp:lastModifiedBy>
  <cp:lastPrinted>2015-08-05T20:38:50Z</cp:lastPrinted>
  <dcterms:created xsi:type="dcterms:W3CDTF">2015-03-13T20:48:29Z</dcterms:created>
  <dcterms:modified xsi:type="dcterms:W3CDTF">2015-08-05T21:08:22Z</dcterms:modified>
</cp:coreProperties>
</file>